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4-FY25\EMA\"/>
    </mc:Choice>
  </mc:AlternateContent>
  <xr:revisionPtr revIDLastSave="0" documentId="13_ncr:1_{CAF713EB-919F-4CCC-BE23-530BF9E8AE4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Consolidated!$B$1:$V$79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5" l="1"/>
  <c r="J64" i="5"/>
  <c r="I65" i="5"/>
  <c r="J65" i="5"/>
  <c r="K64" i="5"/>
  <c r="C19" i="5"/>
  <c r="D19" i="5"/>
  <c r="E19" i="5"/>
  <c r="C50" i="5"/>
  <c r="D50" i="5"/>
  <c r="E50" i="5"/>
  <c r="C49" i="5"/>
  <c r="D49" i="5"/>
  <c r="E49" i="5"/>
  <c r="C42" i="5"/>
  <c r="D41" i="5"/>
  <c r="C41" i="5"/>
  <c r="K68" i="5"/>
  <c r="K69" i="5"/>
  <c r="K70" i="5" s="1"/>
  <c r="K71" i="5"/>
  <c r="I12" i="5"/>
  <c r="J12" i="5"/>
  <c r="J9" i="5"/>
  <c r="J8" i="5"/>
  <c r="I9" i="5"/>
  <c r="I8" i="5"/>
  <c r="I38" i="5"/>
  <c r="I71" i="5"/>
  <c r="I68" i="5"/>
  <c r="I70" i="5" s="1"/>
  <c r="J68" i="5"/>
  <c r="J70" i="5" s="1"/>
  <c r="I69" i="5"/>
  <c r="J69" i="5"/>
  <c r="I44" i="5"/>
  <c r="K44" i="5"/>
  <c r="L44" i="5"/>
  <c r="L69" i="5"/>
  <c r="L68" i="5"/>
  <c r="K67" i="5"/>
  <c r="L67" i="5"/>
  <c r="K66" i="5"/>
  <c r="L66" i="5"/>
  <c r="I59" i="5"/>
  <c r="J59" i="5"/>
  <c r="K59" i="5"/>
  <c r="F48" i="5"/>
  <c r="F51" i="5" s="1"/>
  <c r="F50" i="5"/>
  <c r="F49" i="5"/>
  <c r="E42" i="5"/>
  <c r="F42" i="5"/>
  <c r="F25" i="5"/>
  <c r="F22" i="5"/>
  <c r="E22" i="5"/>
  <c r="K11" i="5"/>
  <c r="J38" i="5"/>
  <c r="K53" i="5"/>
  <c r="I45" i="5"/>
  <c r="J45" i="5"/>
  <c r="K45" i="5"/>
  <c r="L45" i="5"/>
  <c r="L38" i="5"/>
  <c r="L36" i="5" s="1"/>
  <c r="K38" i="5"/>
  <c r="F24" i="5"/>
  <c r="L59" i="5"/>
  <c r="L61" i="5" s="1"/>
  <c r="L26" i="5"/>
  <c r="L6" i="5"/>
  <c r="F37" i="5"/>
  <c r="F38" i="5" s="1"/>
  <c r="F28" i="5"/>
  <c r="F27" i="5"/>
  <c r="F6" i="5"/>
  <c r="F5" i="5"/>
  <c r="F7" i="5"/>
  <c r="F11" i="5" s="1"/>
  <c r="F18" i="5" s="1"/>
  <c r="L60" i="5" l="1"/>
  <c r="L62" i="5" s="1"/>
  <c r="L53" i="5"/>
  <c r="F19" i="5"/>
  <c r="F20" i="5" s="1"/>
  <c r="L64" i="5"/>
  <c r="L70" i="5"/>
  <c r="F14" i="5"/>
  <c r="L63" i="5"/>
  <c r="L15" i="5"/>
  <c r="L52" i="5" s="1"/>
  <c r="L12" i="5" s="1"/>
  <c r="L10" i="5"/>
  <c r="F41" i="5"/>
  <c r="F43" i="5" s="1"/>
  <c r="L11" i="5" l="1"/>
  <c r="L65" i="5" s="1"/>
  <c r="K10" i="5"/>
  <c r="J6" i="5" l="1"/>
  <c r="I6" i="5"/>
  <c r="I15" i="5"/>
  <c r="J15" i="5"/>
  <c r="K15" i="5"/>
  <c r="I26" i="5"/>
  <c r="J26" i="5"/>
  <c r="J44" i="5" s="1"/>
  <c r="K26" i="5"/>
  <c r="C39" i="7"/>
  <c r="C28" i="7"/>
  <c r="B28" i="7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E41" i="5"/>
  <c r="E43" i="5" s="1"/>
  <c r="D43" i="5"/>
  <c r="C43" i="5"/>
  <c r="K36" i="5"/>
  <c r="J36" i="5"/>
  <c r="I36" i="5"/>
  <c r="E37" i="5"/>
  <c r="D37" i="5"/>
  <c r="D38" i="5" s="1"/>
  <c r="C37" i="5"/>
  <c r="C38" i="5" s="1"/>
  <c r="E27" i="5"/>
  <c r="D27" i="5"/>
  <c r="J10" i="5"/>
  <c r="I10" i="5"/>
  <c r="C27" i="7" s="1"/>
  <c r="E7" i="5"/>
  <c r="D7" i="5"/>
  <c r="C7" i="5"/>
  <c r="C46" i="7" s="1"/>
  <c r="B46" i="7"/>
  <c r="K6" i="5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J11" i="5" l="1"/>
  <c r="I11" i="5"/>
  <c r="I53" i="5"/>
  <c r="J66" i="5"/>
  <c r="J67" i="5"/>
  <c r="J71" i="5"/>
  <c r="I66" i="5"/>
  <c r="C48" i="7" s="1"/>
  <c r="I67" i="5"/>
  <c r="C49" i="7" s="1"/>
  <c r="I5" i="6"/>
  <c r="J53" i="5"/>
  <c r="L71" i="5"/>
  <c r="I11" i="6"/>
  <c r="I52" i="5"/>
  <c r="I10" i="6"/>
  <c r="I39" i="6" s="1"/>
  <c r="B42" i="7" s="1"/>
  <c r="J52" i="5"/>
  <c r="B49" i="7"/>
  <c r="E38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D11" i="5"/>
  <c r="D18" i="5" s="1"/>
  <c r="L9" i="6"/>
  <c r="L38" i="6" s="1"/>
  <c r="K52" i="5"/>
  <c r="K12" i="5" s="1"/>
  <c r="B13" i="7"/>
  <c r="I8" i="6"/>
  <c r="E11" i="5"/>
  <c r="E18" i="5" s="1"/>
  <c r="I17" i="6"/>
  <c r="B18" i="7"/>
  <c r="B38" i="7" s="1"/>
  <c r="B45" i="7"/>
  <c r="B48" i="7"/>
  <c r="C11" i="5"/>
  <c r="F13" i="5" s="1"/>
  <c r="C45" i="7"/>
  <c r="I20" i="6" l="1"/>
  <c r="D20" i="5"/>
  <c r="F12" i="5"/>
  <c r="C47" i="7"/>
  <c r="B41" i="7"/>
  <c r="B47" i="7"/>
  <c r="D14" i="5"/>
  <c r="K41" i="6"/>
  <c r="K40" i="6"/>
  <c r="K28" i="6"/>
  <c r="K30" i="6" s="1"/>
  <c r="K36" i="6" s="1"/>
  <c r="O77" i="4"/>
  <c r="C51" i="4"/>
  <c r="M68" i="4"/>
  <c r="B29" i="4"/>
  <c r="B25" i="4"/>
  <c r="K65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B40" i="7"/>
  <c r="C41" i="7"/>
  <c r="C18" i="5"/>
  <c r="C14" i="5"/>
  <c r="D12" i="5"/>
  <c r="E12" i="5"/>
  <c r="E14" i="5"/>
  <c r="D24" i="5" l="1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C20" i="5"/>
  <c r="E20" i="5"/>
  <c r="H30" i="4" l="1"/>
  <c r="H31" i="4"/>
  <c r="I30" i="4"/>
  <c r="I31" i="4"/>
  <c r="J26" i="4"/>
  <c r="T68" i="4"/>
  <c r="J25" i="4"/>
  <c r="J29" i="4"/>
  <c r="D30" i="4"/>
  <c r="E30" i="4"/>
  <c r="C40" i="7"/>
  <c r="C24" i="5"/>
  <c r="E24" i="5"/>
  <c r="J30" i="4" l="1"/>
  <c r="J31" i="4"/>
</calcChain>
</file>

<file path=xl/sharedStrings.xml><?xml version="1.0" encoding="utf-8"?>
<sst xmlns="http://schemas.openxmlformats.org/spreadsheetml/2006/main" count="522" uniqueCount="230">
  <si>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</si>
  <si>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</si>
  <si>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</si>
  <si>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</si>
  <si>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</si>
  <si>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</si>
  <si>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</si>
  <si>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</si>
  <si>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</si>
  <si>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</si>
  <si>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</si>
  <si>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</si>
  <si>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</si>
  <si>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</si>
  <si>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</si>
  <si>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</si>
  <si>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</si>
  <si>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</si>
  <si>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</si>
  <si>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</si>
  <si>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</si>
  <si>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</si>
  <si>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</si>
  <si>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</si>
  <si>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</si>
  <si>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</si>
  <si>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</si>
  <si>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</si>
  <si>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</si>
  <si>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</si>
  <si>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</si>
  <si>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</si>
  <si>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</si>
  <si>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</si>
  <si>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</si>
  <si>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</si>
  <si>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</si>
  <si>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</si>
  <si>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</si>
  <si>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</si>
  <si>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</si>
  <si>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</si>
  <si>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</si>
  <si>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</si>
  <si>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</si>
  <si>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</si>
  <si>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</si>
  <si>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</si>
  <si>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</si>
  <si>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</si>
  <si>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</si>
  <si>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</si>
  <si>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</si>
  <si>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</si>
  <si>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</si>
  <si>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</si>
  <si>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</si>
  <si>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</si>
  <si>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</si>
  <si>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</si>
  <si>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</si>
  <si>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</si>
  <si>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</si>
  <si>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</si>
  <si>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</si>
  <si>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</si>
  <si>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</si>
  <si>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</si>
  <si>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</si>
  <si>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</si>
  <si>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</si>
  <si>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</si>
  <si>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</si>
  <si>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</si>
  <si>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</si>
  <si>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</si>
  <si>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</si>
  <si>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</si>
  <si>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</si>
  <si>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</si>
  <si>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</si>
  <si>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</si>
  <si>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</si>
  <si>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</si>
  <si>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</si>
  <si>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</si>
  <si>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</si>
  <si>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</si>
  <si>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</si>
  <si>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</si>
  <si>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</si>
  <si>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</si>
  <si>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</si>
  <si>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</si>
  <si>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</si>
  <si>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</si>
  <si>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</si>
  <si>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</si>
  <si>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</si>
  <si>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</si>
  <si>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</si>
  <si>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</si>
  <si>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</si>
  <si>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</si>
  <si>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</si>
  <si>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</si>
  <si>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</si>
  <si>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</si>
  <si>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</si>
  <si>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</si>
  <si>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</si>
  <si>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</si>
  <si>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</si>
  <si>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</si>
  <si>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</si>
  <si>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</si>
  <si>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</si>
  <si>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</si>
  <si>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</si>
  <si>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</si>
  <si>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</si>
  <si>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</si>
  <si>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</si>
  <si>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</si>
  <si>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</si>
  <si>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</si>
  <si>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</si>
  <si>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</si>
  <si>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</si>
  <si>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</si>
  <si>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</si>
  <si>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</si>
  <si>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</si>
  <si>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</si>
  <si>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</si>
  <si>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</si>
  <si>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</si>
  <si>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</si>
  <si>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</si>
  <si>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</si>
  <si>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</si>
  <si>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</si>
  <si>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</si>
  <si>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</si>
  <si>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</si>
  <si>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</si>
  <si>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</si>
  <si>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</si>
  <si>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</si>
  <si>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</si>
  <si>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</si>
  <si>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</si>
  <si>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</si>
  <si>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</si>
  <si>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</si>
  <si>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</si>
  <si>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</si>
  <si>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</si>
  <si>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</si>
  <si>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</si>
  <si>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</si>
  <si>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</si>
  <si>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</si>
  <si>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</si>
  <si>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</si>
  <si>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</si>
  <si>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(ii) Other Financial Assets</t>
  </si>
  <si>
    <t>Deferred Tax Asset</t>
  </si>
  <si>
    <t>(v) Loans and Advance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</si>
  <si>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</si>
  <si>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</si>
  <si>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</si>
  <si>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</si>
  <si>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</si>
  <si>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</si>
  <si>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</si>
  <si>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</si>
  <si>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</si>
  <si>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</si>
  <si>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</si>
  <si>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</si>
  <si>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</si>
  <si>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</si>
  <si>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</si>
  <si>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</si>
  <si>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</si>
  <si>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</si>
  <si>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</si>
  <si>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</si>
  <si>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</si>
  <si>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</si>
  <si>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</si>
  <si>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</si>
  <si>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</si>
  <si>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</si>
  <si>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</si>
  <si>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</si>
  <si>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</si>
  <si>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</si>
  <si>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</si>
  <si>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</si>
  <si>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</si>
  <si>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</si>
  <si>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</si>
  <si>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</si>
  <si>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</si>
  <si>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</si>
  <si>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</si>
  <si>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
Consol</t>
  </si>
  <si>
    <t>H1-FY22</t>
  </si>
  <si>
    <t>CMP (As on 30.03.2021)</t>
  </si>
  <si>
    <t>NA</t>
  </si>
  <si>
    <t>FY22</t>
  </si>
  <si>
    <t>FY23</t>
  </si>
  <si>
    <t>FY24</t>
  </si>
  <si>
    <t>cost of sales</t>
  </si>
  <si>
    <t>NON CURRENT LIABILITIES</t>
  </si>
  <si>
    <t xml:space="preserve">Operating Cash Flow </t>
  </si>
  <si>
    <t>Intangible Assets</t>
  </si>
  <si>
    <t>FY25</t>
  </si>
  <si>
    <t>EMA Partners India Limited</t>
  </si>
  <si>
    <t>Finance Cost</t>
  </si>
  <si>
    <t>PAT Before Minority Interest</t>
  </si>
  <si>
    <t>Minority interest</t>
  </si>
  <si>
    <t>Goodwill</t>
  </si>
  <si>
    <t xml:space="preserve">  -</t>
  </si>
  <si>
    <t>capital work in progress</t>
  </si>
  <si>
    <t>Short Term  Borrowings</t>
  </si>
  <si>
    <t>Long term Borrowings</t>
  </si>
  <si>
    <t>(i) Loans and Advances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</si>
</sst>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  <font>
      <sz val="7"/>
      <color rgb="FF4A4A4A"/>
      <name val="Poppins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2" fontId="25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14" borderId="20" xfId="0" applyFont="1" applyFill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0" fontId="28" fillId="7" borderId="6" xfId="0" applyNumberFormat="1" applyFont="1" applyFill="1" applyBorder="1"/>
    <xf numFmtId="0" fontId="23" fillId="0" borderId="1" xfId="0" applyFont="1" applyBorder="1" applyAlignment="1">
      <alignment horizontal="left"/>
    </xf>
    <xf numFmtId="170" fontId="25" fillId="7" borderId="1" xfId="2" applyNumberFormat="1" applyFont="1" applyFill="1" applyBorder="1"/>
    <xf numFmtId="2" fontId="26" fillId="7" borderId="1" xfId="0" applyNumberFormat="1" applyFont="1" applyFill="1" applyBorder="1"/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6" fillId="13" borderId="19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165" fontId="25" fillId="14" borderId="1" xfId="2" applyNumberFormat="1" applyFont="1" applyFill="1" applyBorder="1"/>
    <xf numFmtId="10" fontId="28" fillId="7" borderId="1" xfId="0" applyNumberFormat="1" applyFont="1" applyFill="1" applyBorder="1" applyAlignment="1">
      <alignment horizontal="right"/>
    </xf>
    <xf numFmtId="3" fontId="31" fillId="0" borderId="0" xfId="0" applyNumberFormat="1" applyFont="1"/>
    <xf numFmtId="165" fontId="0" fillId="0" borderId="0" xfId="2" applyFont="1"/>
    <xf numFmtId="0" fontId="31" fillId="0" borderId="0" xfId="0" applyFont="1"/>
    <xf numFmtId="0" fontId="25" fillId="14" borderId="18" xfId="0" applyFont="1" applyFill="1" applyBorder="1" applyAlignment="1">
      <alignment horizontal="center"/>
    </xf>
    <xf numFmtId="165" fontId="25" fillId="14" borderId="9" xfId="2" applyNumberFormat="1" applyFont="1" applyFill="1" applyBorder="1"/>
    <xf numFmtId="165" fontId="23" fillId="0" borderId="1" xfId="2" applyNumberFormat="1" applyFont="1" applyBorder="1"/>
    <xf numFmtId="165" fontId="25" fillId="0" borderId="1" xfId="2" applyNumberFormat="1" applyFont="1" applyFill="1" applyBorder="1"/>
    <xf numFmtId="165" fontId="27" fillId="0" borderId="1" xfId="2" applyNumberFormat="1" applyFont="1" applyFill="1" applyBorder="1"/>
    <xf numFmtId="4" fontId="0" fillId="0" borderId="0" xfId="0" applyNumberFormat="1" applyBorder="1" applyAlignment="1">
      <alignment horizontal="right"/>
    </xf>
    <xf numFmtId="4" fontId="30" fillId="0" borderId="1" xfId="2" applyNumberFormat="1" applyFont="1" applyFill="1" applyBorder="1" applyAlignment="1">
      <alignment horizontal="right"/>
    </xf>
    <xf numFmtId="4" fontId="29" fillId="0" borderId="1" xfId="2" applyNumberFormat="1" applyFont="1" applyFill="1" applyBorder="1"/>
    <xf numFmtId="4" fontId="30" fillId="0" borderId="9" xfId="2" applyNumberFormat="1" applyFont="1" applyFill="1" applyBorder="1" applyAlignment="1">
      <alignment horizontal="right"/>
    </xf>
    <xf numFmtId="4" fontId="29" fillId="0" borderId="9" xfId="2" applyNumberFormat="1" applyFont="1" applyFill="1" applyBorder="1" applyAlignment="1">
      <alignment horizontal="right"/>
    </xf>
    <xf numFmtId="165" fontId="23" fillId="0" borderId="1" xfId="2" applyNumberFormat="1" applyFont="1" applyFill="1" applyBorder="1"/>
    <xf numFmtId="165" fontId="23" fillId="0" borderId="1" xfId="2" applyNumberFormat="1" applyFont="1" applyFill="1" applyBorder="1" applyAlignment="1">
      <alignment horizontal="center"/>
    </xf>
    <xf numFmtId="165" fontId="23" fillId="0" borderId="1" xfId="2" applyNumberFormat="1" applyFont="1" applyFill="1" applyBorder="1" applyAlignment="1">
      <alignment horizontal="center" vertical="center"/>
    </xf>
    <xf numFmtId="165" fontId="23" fillId="0" borderId="0" xfId="0" applyNumberFormat="1" applyFont="1" applyFill="1"/>
    <xf numFmtId="0" fontId="25" fillId="0" borderId="1" xfId="0" applyFont="1" applyFill="1" applyBorder="1"/>
    <xf numFmtId="2" fontId="25" fillId="0" borderId="1" xfId="0" applyNumberFormat="1" applyFont="1" applyFill="1" applyBorder="1"/>
    <xf numFmtId="0" fontId="27" fillId="0" borderId="1" xfId="0" applyFont="1" applyFill="1" applyBorder="1"/>
    <xf numFmtId="2" fontId="27" fillId="0" borderId="1" xfId="0" applyNumberFormat="1" applyFont="1" applyFill="1" applyBorder="1"/>
    <xf numFmtId="165" fontId="0" fillId="0" borderId="29" xfId="0" applyNumberFormat="1" applyFill="1" applyBorder="1"/>
    <xf numFmtId="165" fontId="23" fillId="0" borderId="0" xfId="0" applyNumberFormat="1" applyFont="1" applyFill="1" applyAlignment="1">
      <alignment horizontal="center"/>
    </xf>
    <xf numFmtId="165" fontId="0" fillId="0" borderId="2" xfId="0" applyNumberFormat="1" applyFill="1" applyBorder="1"/>
    <xf numFmtId="4" fontId="0" fillId="0" borderId="1" xfId="0" applyNumberFormat="1" applyFill="1" applyBorder="1" applyAlignment="1">
      <alignment horizontal="right"/>
    </xf>
    <xf numFmtId="4" fontId="0" fillId="0" borderId="0" xfId="0" applyNumberFormat="1" applyFill="1" applyBorder="1"/>
    <xf numFmtId="4" fontId="26" fillId="0" borderId="1" xfId="2" applyNumberFormat="1" applyFont="1" applyFill="1" applyBorder="1"/>
    <xf numFmtId="0" fontId="26" fillId="0" borderId="15" xfId="0" applyFont="1" applyBorder="1" applyAlignment="1">
      <alignment horizontal="left"/>
    </xf>
    <xf numFmtId="0" fontId="26" fillId="14" borderId="6" xfId="0" applyFont="1" applyFill="1" applyBorder="1" applyAlignment="1">
      <alignment horizontal="left"/>
    </xf>
    <xf numFmtId="167" fontId="28" fillId="7" borderId="1" xfId="0" applyNumberFormat="1" applyFont="1" applyFill="1" applyBorder="1"/>
    <xf numFmtId="167" fontId="28" fillId="7" borderId="1" xfId="0" applyNumberFormat="1" applyFont="1" applyFill="1" applyBorder="1" applyAlignment="1">
      <alignment horizontal="right"/>
    </xf>
    <xf numFmtId="167" fontId="28" fillId="0" borderId="1" xfId="0" applyNumberFormat="1" applyFont="1" applyBorder="1" applyAlignment="1">
      <alignment horizontal="right"/>
    </xf>
    <xf numFmtId="167" fontId="28" fillId="0" borderId="1" xfId="0" applyNumberFormat="1" applyFont="1" applyBorder="1"/>
    <xf numFmtId="167" fontId="26" fillId="0" borderId="1" xfId="1" applyNumberFormat="1" applyFont="1" applyFill="1" applyBorder="1"/>
    <xf numFmtId="167" fontId="23" fillId="0" borderId="1" xfId="0" applyNumberFormat="1" applyFont="1" applyBorder="1" applyAlignment="1">
      <alignment horizontal="right"/>
    </xf>
    <xf numFmtId="167" fontId="23" fillId="0" borderId="9" xfId="0" applyNumberFormat="1" applyFont="1" applyBorder="1" applyAlignment="1">
      <alignment horizontal="right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42" t="s">
        <v>172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4"/>
    </row>
    <row r="2" spans="1:21" ht="15" customHeight="1">
      <c r="A2" s="339" t="s">
        <v>98</v>
      </c>
      <c r="B2" s="340"/>
      <c r="C2" s="340"/>
      <c r="D2" s="340"/>
      <c r="E2" s="340"/>
      <c r="F2" s="340"/>
      <c r="G2" s="340"/>
      <c r="H2" s="340"/>
      <c r="I2" s="341"/>
      <c r="J2" s="150"/>
      <c r="K2" s="19"/>
      <c r="L2" s="339" t="s">
        <v>99</v>
      </c>
      <c r="M2" s="340"/>
      <c r="N2" s="340"/>
      <c r="O2" s="340"/>
      <c r="P2" s="340"/>
      <c r="Q2" s="340"/>
      <c r="R2" s="340"/>
      <c r="S2" s="340"/>
      <c r="T2" s="341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207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207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173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174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175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176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177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167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178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179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180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36" t="s">
        <v>102</v>
      </c>
      <c r="B37" s="337"/>
      <c r="C37" s="337"/>
      <c r="D37" s="337"/>
      <c r="E37" s="337"/>
      <c r="F37" s="337"/>
      <c r="G37" s="337"/>
      <c r="H37" s="338"/>
      <c r="I37" s="243"/>
      <c r="J37" s="238"/>
      <c r="K37" s="19"/>
      <c r="L37" s="40" t="s">
        <v>181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207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169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207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169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207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36" t="s">
        <v>100</v>
      </c>
      <c r="M59" s="337"/>
      <c r="N59" s="337"/>
      <c r="O59" s="337"/>
      <c r="P59" s="337"/>
      <c r="Q59" s="337"/>
      <c r="R59" s="337"/>
      <c r="S59" s="338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207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1048576"/>
  <sheetViews>
    <sheetView showGridLines="0" tabSelected="1" zoomScale="77" zoomScaleNormal="100" zoomScaleSheetLayoutView="85" zoomScalePageLayoutView="89" workbookViewId="0">
      <selection activeCell="N15" sqref="N15"/>
    </sheetView>
  </sheetViews>
  <sheetFormatPr defaultColWidth="9.109375" defaultRowHeight="15" customHeight="1"/>
  <cols>
    <col min="1" max="1" width="3.5546875" style="269" customWidth="1"/>
    <col min="2" max="2" width="53.88671875" style="277" customWidth="1"/>
    <col min="3" max="3" width="14.109375" style="277" bestFit="1" customWidth="1"/>
    <col min="4" max="4" width="16.5546875" style="277" bestFit="1" customWidth="1"/>
    <col min="5" max="6" width="13.88671875" style="277" customWidth="1"/>
    <col min="7" max="7" width="4" style="269" customWidth="1"/>
    <col min="8" max="8" width="43.44140625" style="269" customWidth="1"/>
    <col min="9" max="9" width="17.5546875" style="269" customWidth="1"/>
    <col min="10" max="10" width="15.5546875" style="277" customWidth="1"/>
    <col min="11" max="12" width="17.6640625" style="277" customWidth="1"/>
    <col min="13" max="13" width="10.33203125" style="277" customWidth="1"/>
    <col min="14" max="15" width="12.5546875" style="277" customWidth="1"/>
    <col min="16" max="16" width="11.88671875" style="277" customWidth="1"/>
    <col min="17" max="17" width="13.109375" style="277" customWidth="1"/>
    <col min="18" max="18" width="14.88671875" style="277" customWidth="1"/>
    <col min="19" max="19" width="13.109375" style="277" hidden="1" customWidth="1"/>
    <col min="20" max="20" width="8.88671875" style="277" hidden="1" customWidth="1"/>
    <col min="21" max="21" width="13.5546875" style="277" customWidth="1"/>
    <col min="22" max="22" width="13" style="277" customWidth="1"/>
    <col min="23" max="25" width="15.109375" style="277" customWidth="1"/>
    <col min="26" max="26" width="13.109375" style="277" customWidth="1"/>
    <col min="27" max="74" width="9.109375" style="277"/>
    <col min="75" max="16384" width="9.109375" style="269"/>
  </cols>
  <sheetData>
    <row r="1" spans="1:21" customFormat="1" ht="15" customHeight="1" thickBot="1">
      <c r="A1" s="345"/>
      <c r="B1" s="354" t="s">
        <v>220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293"/>
      <c r="N1" s="293"/>
      <c r="O1" s="293"/>
      <c r="P1" s="293"/>
      <c r="Q1" s="293"/>
      <c r="R1" s="293"/>
      <c r="S1" s="293"/>
      <c r="T1" s="293"/>
      <c r="U1" s="293"/>
    </row>
    <row r="2" spans="1:21" customFormat="1" ht="15" customHeight="1">
      <c r="A2" s="345"/>
      <c r="B2" s="351" t="s">
        <v>103</v>
      </c>
      <c r="C2" s="352"/>
      <c r="D2" s="352"/>
      <c r="E2" s="352"/>
      <c r="F2" s="352"/>
      <c r="G2" s="271"/>
      <c r="H2" s="356" t="s">
        <v>104</v>
      </c>
      <c r="I2" s="357"/>
      <c r="J2" s="357"/>
      <c r="K2" s="357"/>
      <c r="L2" s="358"/>
      <c r="M2" s="294"/>
      <c r="N2" s="294"/>
      <c r="O2" s="294"/>
      <c r="P2" s="294"/>
      <c r="Q2" s="294"/>
    </row>
    <row r="3" spans="1:21" customFormat="1" ht="15" customHeight="1">
      <c r="A3" s="345"/>
      <c r="B3" s="283" t="s">
        <v>0</v>
      </c>
      <c r="C3" s="285" t="s">
        <v>212</v>
      </c>
      <c r="D3" s="285" t="s">
        <v>213</v>
      </c>
      <c r="E3" s="285" t="s">
        <v>214</v>
      </c>
      <c r="F3" s="285" t="s">
        <v>219</v>
      </c>
      <c r="G3" s="271"/>
      <c r="H3" s="283" t="s">
        <v>0</v>
      </c>
      <c r="I3" s="285" t="s">
        <v>212</v>
      </c>
      <c r="J3" s="285" t="s">
        <v>213</v>
      </c>
      <c r="K3" s="285" t="s">
        <v>214</v>
      </c>
      <c r="L3" s="285" t="s">
        <v>219</v>
      </c>
    </row>
    <row r="4" spans="1:21" customFormat="1" ht="15" customHeight="1">
      <c r="A4" s="345"/>
      <c r="B4" s="278" t="s">
        <v>1</v>
      </c>
      <c r="C4" s="333">
        <v>569.56799999999998</v>
      </c>
      <c r="D4" s="282">
        <v>501.4</v>
      </c>
      <c r="E4" s="333">
        <v>672.96199999999999</v>
      </c>
      <c r="F4" s="282">
        <v>739.30499999999995</v>
      </c>
      <c r="G4" s="272"/>
      <c r="H4" s="279" t="s">
        <v>36</v>
      </c>
      <c r="I4" s="276">
        <v>0.5</v>
      </c>
      <c r="J4" s="276">
        <v>0.42299999999999999</v>
      </c>
      <c r="K4" s="380">
        <v>0.42299999999999999</v>
      </c>
      <c r="L4" s="380">
        <v>116.232</v>
      </c>
    </row>
    <row r="5" spans="1:21" customFormat="1" ht="15" customHeight="1">
      <c r="A5" s="345"/>
      <c r="B5" s="330" t="s">
        <v>2</v>
      </c>
      <c r="C5" s="366" t="s">
        <v>211</v>
      </c>
      <c r="D5" s="396">
        <f>(D4/C4-1)</f>
        <v>-0.11968369009494917</v>
      </c>
      <c r="E5" s="397">
        <f>(E4/D4-1)</f>
        <v>0.34216593538093343</v>
      </c>
      <c r="F5" s="396">
        <f>(F4/E4-1)</f>
        <v>9.8583575298456516E-2</v>
      </c>
      <c r="G5" s="273"/>
      <c r="H5" s="279" t="s">
        <v>37</v>
      </c>
      <c r="I5" s="276">
        <v>393.91399999999999</v>
      </c>
      <c r="J5" s="276">
        <v>399.25200000000001</v>
      </c>
      <c r="K5" s="380">
        <v>539.73299999999995</v>
      </c>
      <c r="L5" s="380">
        <v>1258.7729999999999</v>
      </c>
    </row>
    <row r="6" spans="1:21" customFormat="1" ht="15.6">
      <c r="A6" s="345"/>
      <c r="B6" s="311" t="s">
        <v>108</v>
      </c>
      <c r="C6" s="319" t="s">
        <v>211</v>
      </c>
      <c r="D6" s="319" t="s">
        <v>211</v>
      </c>
      <c r="E6" s="319" t="s">
        <v>211</v>
      </c>
      <c r="F6" s="398">
        <f>+((F4/C4)^(1/3)-1)</f>
        <v>9.0835728278272576E-2</v>
      </c>
      <c r="G6" s="273"/>
      <c r="H6" s="286" t="s">
        <v>38</v>
      </c>
      <c r="I6" s="365">
        <f>(I4+I5)</f>
        <v>394.41399999999999</v>
      </c>
      <c r="J6" s="365">
        <f>(J4+J5)</f>
        <v>399.67500000000001</v>
      </c>
      <c r="K6" s="365">
        <f>(K4+K5)</f>
        <v>540.15599999999995</v>
      </c>
      <c r="L6" s="365">
        <f>(L4+L5)</f>
        <v>1375.0049999999999</v>
      </c>
    </row>
    <row r="7" spans="1:21" customFormat="1" ht="15" customHeight="1">
      <c r="A7" s="345"/>
      <c r="B7" s="278" t="s">
        <v>3</v>
      </c>
      <c r="C7" s="314">
        <f>SUM(C8:C10)</f>
        <v>428.34199999999998</v>
      </c>
      <c r="D7" s="314">
        <f>SUM(D8:D10)</f>
        <v>460.64699999999999</v>
      </c>
      <c r="E7" s="314">
        <f>SUM(E8:E10)</f>
        <v>508.10400000000004</v>
      </c>
      <c r="F7" s="314">
        <f>SUM(F8:F10)</f>
        <v>606.09500000000003</v>
      </c>
      <c r="G7" s="274"/>
      <c r="H7" s="279" t="s">
        <v>39</v>
      </c>
      <c r="I7" s="276">
        <v>11.593999999999999</v>
      </c>
      <c r="J7" s="276">
        <v>5.8970000000000002</v>
      </c>
      <c r="K7" s="380">
        <v>9.3160000000000007</v>
      </c>
      <c r="L7" s="380">
        <v>0</v>
      </c>
    </row>
    <row r="8" spans="1:21" customFormat="1" ht="15" customHeight="1">
      <c r="A8" s="345"/>
      <c r="B8" s="279" t="s">
        <v>215</v>
      </c>
      <c r="C8" s="275" t="s">
        <v>206</v>
      </c>
      <c r="D8" s="270">
        <v>0</v>
      </c>
      <c r="E8" s="275">
        <v>0</v>
      </c>
      <c r="F8" s="270">
        <v>0</v>
      </c>
      <c r="G8" s="274"/>
      <c r="H8" s="279" t="s">
        <v>40</v>
      </c>
      <c r="I8" s="372">
        <f>I50</f>
        <v>30.518999999999998</v>
      </c>
      <c r="J8" s="372">
        <f>J50</f>
        <v>4.5549999999999997</v>
      </c>
      <c r="K8" s="380">
        <v>67.665999999999997</v>
      </c>
      <c r="L8" s="380">
        <v>5.91</v>
      </c>
    </row>
    <row r="9" spans="1:21" customFormat="1" ht="15" customHeight="1">
      <c r="A9" s="345"/>
      <c r="B9" s="279" t="s">
        <v>67</v>
      </c>
      <c r="C9" s="276">
        <v>345.84399999999999</v>
      </c>
      <c r="D9" s="276">
        <v>350.79300000000001</v>
      </c>
      <c r="E9" s="276">
        <v>383.90800000000002</v>
      </c>
      <c r="F9" s="276">
        <v>455.70400000000001</v>
      </c>
      <c r="G9" s="273"/>
      <c r="H9" s="279" t="s">
        <v>41</v>
      </c>
      <c r="I9" s="372">
        <f>I37</f>
        <v>8.4359999999999999</v>
      </c>
      <c r="J9" s="372">
        <f>J37</f>
        <v>1.042</v>
      </c>
      <c r="K9" s="380">
        <v>8.1359999999999992</v>
      </c>
      <c r="L9" s="380">
        <v>7.4649999999999999</v>
      </c>
    </row>
    <row r="10" spans="1:21" customFormat="1" ht="15" customHeight="1">
      <c r="A10" s="345"/>
      <c r="B10" s="279" t="s">
        <v>68</v>
      </c>
      <c r="C10" s="276">
        <v>82.498000000000005</v>
      </c>
      <c r="D10" s="276">
        <v>109.854</v>
      </c>
      <c r="E10" s="276">
        <v>124.196</v>
      </c>
      <c r="F10" s="276">
        <v>150.39099999999999</v>
      </c>
      <c r="G10" s="273"/>
      <c r="H10" s="315" t="s">
        <v>42</v>
      </c>
      <c r="I10" s="373">
        <f>(I8+I9)</f>
        <v>38.954999999999998</v>
      </c>
      <c r="J10" s="373">
        <f>(J8+J9)</f>
        <v>5.5969999999999995</v>
      </c>
      <c r="K10" s="373">
        <f>(K8+K9)</f>
        <v>75.801999999999992</v>
      </c>
      <c r="L10" s="373">
        <f>(L8+L9)</f>
        <v>13.375</v>
      </c>
    </row>
    <row r="11" spans="1:21" customFormat="1" ht="15" customHeight="1">
      <c r="A11" s="345"/>
      <c r="B11" s="286" t="s">
        <v>4</v>
      </c>
      <c r="C11" s="287">
        <f>(C4-C7)</f>
        <v>141.226</v>
      </c>
      <c r="D11" s="287">
        <f>(D4-D7)</f>
        <v>40.752999999999986</v>
      </c>
      <c r="E11" s="287">
        <f>(E4-E7)</f>
        <v>164.85799999999995</v>
      </c>
      <c r="F11" s="287">
        <f>(F4-F7)</f>
        <v>133.20999999999992</v>
      </c>
      <c r="G11" s="273"/>
      <c r="H11" s="315" t="s">
        <v>43</v>
      </c>
      <c r="I11" s="373">
        <f t="shared" ref="I11:J11" si="0">I6+I45+I7</f>
        <v>442.94499999999999</v>
      </c>
      <c r="J11" s="373">
        <f t="shared" si="0"/>
        <v>416.47</v>
      </c>
      <c r="K11" s="373">
        <f>K6+K45+K7</f>
        <v>620.99399999999991</v>
      </c>
      <c r="L11" s="373">
        <f>L6+L45</f>
        <v>1386.4259999999999</v>
      </c>
    </row>
    <row r="12" spans="1:21" customFormat="1" ht="15" customHeight="1">
      <c r="A12" s="345"/>
      <c r="B12" s="309" t="s">
        <v>2</v>
      </c>
      <c r="C12" s="319" t="s">
        <v>211</v>
      </c>
      <c r="D12" s="398">
        <f>(D11/C11-1)</f>
        <v>-0.71143415518388975</v>
      </c>
      <c r="E12" s="398">
        <f>(E11/D11-1)</f>
        <v>3.0452972787279462</v>
      </c>
      <c r="F12" s="398">
        <f>(F11/E11-1)</f>
        <v>-0.1919712722464183</v>
      </c>
      <c r="G12" s="273"/>
      <c r="H12" s="315" t="s">
        <v>43</v>
      </c>
      <c r="I12" s="373">
        <f t="shared" ref="I12:J12" si="1">I52-I36</f>
        <v>442.94500000000005</v>
      </c>
      <c r="J12" s="373">
        <f t="shared" si="1"/>
        <v>416.47</v>
      </c>
      <c r="K12" s="373">
        <f>K52-K36</f>
        <v>620.99299999999994</v>
      </c>
      <c r="L12" s="373">
        <f>L52-L36</f>
        <v>1386.4260000000002</v>
      </c>
    </row>
    <row r="13" spans="1:21" customFormat="1" ht="15" customHeight="1">
      <c r="A13" s="345"/>
      <c r="B13" s="311" t="s">
        <v>108</v>
      </c>
      <c r="C13" s="319" t="s">
        <v>211</v>
      </c>
      <c r="D13" s="319" t="s">
        <v>211</v>
      </c>
      <c r="E13" s="319" t="s">
        <v>211</v>
      </c>
      <c r="F13" s="398">
        <f>+((F11/C11)^(1/3)-1)</f>
        <v>-1.928973004620671E-2</v>
      </c>
      <c r="G13" s="273"/>
      <c r="H13" s="279"/>
      <c r="I13" s="372"/>
      <c r="J13" s="372"/>
      <c r="K13" s="372"/>
      <c r="L13" s="372"/>
    </row>
    <row r="14" spans="1:21" customFormat="1" ht="15" customHeight="1">
      <c r="A14" s="345"/>
      <c r="B14" s="312" t="s">
        <v>5</v>
      </c>
      <c r="C14" s="313">
        <f>(C11/C4)</f>
        <v>0.24795283442890051</v>
      </c>
      <c r="D14" s="313">
        <f>(D11/D4)</f>
        <v>8.1278420422816092E-2</v>
      </c>
      <c r="E14" s="313">
        <f>(E11/E4)</f>
        <v>0.24497371322600675</v>
      </c>
      <c r="F14" s="313">
        <f>(F11/F4)</f>
        <v>0.18018273919424316</v>
      </c>
      <c r="G14" s="273"/>
      <c r="H14" s="279" t="s">
        <v>87</v>
      </c>
      <c r="I14" s="374"/>
      <c r="J14" s="374"/>
      <c r="K14" s="374"/>
      <c r="L14" s="374"/>
    </row>
    <row r="15" spans="1:21" customFormat="1" ht="15" customHeight="1">
      <c r="A15" s="345"/>
      <c r="B15" s="279" t="s">
        <v>6</v>
      </c>
      <c r="C15" s="276">
        <v>9.0839999999999996</v>
      </c>
      <c r="D15" s="276">
        <v>9.1880000000000006</v>
      </c>
      <c r="E15" s="276">
        <v>15.382</v>
      </c>
      <c r="F15" s="276">
        <v>50.823999999999998</v>
      </c>
      <c r="G15" s="273"/>
      <c r="H15" s="286" t="s">
        <v>101</v>
      </c>
      <c r="I15" s="365">
        <f>SUM(I16:I24)</f>
        <v>168.26</v>
      </c>
      <c r="J15" s="365">
        <f>SUM(J16:J24)</f>
        <v>157.102</v>
      </c>
      <c r="K15" s="365">
        <f>SUM(K16:K24)</f>
        <v>249.62</v>
      </c>
      <c r="L15" s="365">
        <f>SUM(L16:L24)</f>
        <v>250.71200000000002</v>
      </c>
    </row>
    <row r="16" spans="1:21" customFormat="1" ht="15" customHeight="1">
      <c r="A16" s="345"/>
      <c r="B16" s="279" t="s">
        <v>7</v>
      </c>
      <c r="C16" s="276">
        <v>7.8410000000000002</v>
      </c>
      <c r="D16" s="276">
        <v>8.7829999999999995</v>
      </c>
      <c r="E16" s="276">
        <v>11.57</v>
      </c>
      <c r="F16" s="276">
        <v>20.462</v>
      </c>
      <c r="G16" s="273"/>
      <c r="H16" s="279" t="s">
        <v>96</v>
      </c>
      <c r="I16" s="380">
        <v>99.567999999999998</v>
      </c>
      <c r="J16" s="380">
        <v>94.445999999999998</v>
      </c>
      <c r="K16" s="380">
        <v>118.292</v>
      </c>
      <c r="L16" s="388">
        <v>191.91800000000001</v>
      </c>
    </row>
    <row r="17" spans="1:14" customFormat="1" ht="15" customHeight="1">
      <c r="A17" s="345"/>
      <c r="B17" s="279" t="s">
        <v>221</v>
      </c>
      <c r="C17" s="276">
        <v>4.3680000000000003</v>
      </c>
      <c r="D17" s="276">
        <v>1.8859999999999999</v>
      </c>
      <c r="E17" s="276">
        <v>1.8620000000000001</v>
      </c>
      <c r="F17" s="276">
        <v>5.492</v>
      </c>
      <c r="G17" s="273"/>
      <c r="H17" s="279" t="s">
        <v>224</v>
      </c>
      <c r="I17" s="380"/>
      <c r="J17" s="380"/>
      <c r="K17" s="389"/>
      <c r="L17" s="380">
        <v>4.056</v>
      </c>
    </row>
    <row r="18" spans="1:14" customFormat="1" ht="15" customHeight="1">
      <c r="A18" s="345"/>
      <c r="B18" s="286" t="s">
        <v>10</v>
      </c>
      <c r="C18" s="287">
        <f>(C11+C15-C16-C17)</f>
        <v>138.101</v>
      </c>
      <c r="D18" s="287">
        <f>(D11+D15-D16-D17)</f>
        <v>39.271999999999984</v>
      </c>
      <c r="E18" s="287">
        <f>(E11+E15-E16-E17)</f>
        <v>166.80799999999996</v>
      </c>
      <c r="F18" s="287">
        <f t="shared" ref="E18:F18" si="2">(F11+F15-F16-F17)</f>
        <v>158.07999999999996</v>
      </c>
      <c r="G18" s="273"/>
      <c r="H18" s="279" t="s">
        <v>218</v>
      </c>
      <c r="I18" s="380">
        <v>0.01</v>
      </c>
      <c r="J18" s="380">
        <v>4.0000000000000001E-3</v>
      </c>
      <c r="K18" s="380">
        <v>7.3120000000000003</v>
      </c>
      <c r="L18" s="380">
        <v>4.6449999999999996</v>
      </c>
    </row>
    <row r="19" spans="1:14" customFormat="1" ht="15" customHeight="1">
      <c r="A19" s="345"/>
      <c r="B19" s="279" t="s">
        <v>11</v>
      </c>
      <c r="C19" s="276">
        <f t="shared" ref="C19:E19" si="3">C18-C21</f>
        <v>23.287999999999997</v>
      </c>
      <c r="D19" s="276">
        <f t="shared" si="3"/>
        <v>9.9079999999999835</v>
      </c>
      <c r="E19" s="276">
        <f t="shared" si="3"/>
        <v>20.636999999999972</v>
      </c>
      <c r="F19" s="276">
        <f>F18-F21</f>
        <v>33.692999999999955</v>
      </c>
      <c r="G19" s="273"/>
      <c r="H19" s="279" t="s">
        <v>226</v>
      </c>
      <c r="I19" s="380">
        <v>0</v>
      </c>
      <c r="J19" s="380">
        <v>0</v>
      </c>
      <c r="K19" s="380">
        <v>74.968000000000004</v>
      </c>
      <c r="L19" s="390" t="s">
        <v>225</v>
      </c>
    </row>
    <row r="20" spans="1:14" customFormat="1" ht="15" customHeight="1">
      <c r="A20" s="345"/>
      <c r="B20" s="309" t="s">
        <v>12</v>
      </c>
      <c r="C20" s="310">
        <f>(C19/C18)</f>
        <v>0.16863020542935964</v>
      </c>
      <c r="D20" s="399">
        <f>(D19/D18)</f>
        <v>0.25229170910572385</v>
      </c>
      <c r="E20" s="399">
        <f>(E19/E18)</f>
        <v>0.12371708790945264</v>
      </c>
      <c r="F20" s="399">
        <f>(F19/F18)</f>
        <v>0.21313891700404836</v>
      </c>
      <c r="G20" s="273"/>
      <c r="H20" s="279" t="s">
        <v>92</v>
      </c>
      <c r="I20" s="380"/>
      <c r="J20" s="380"/>
      <c r="K20" s="372"/>
      <c r="L20" s="372"/>
    </row>
    <row r="21" spans="1:14" customFormat="1" ht="15" customHeight="1">
      <c r="A21" s="345"/>
      <c r="B21" s="309" t="s">
        <v>222</v>
      </c>
      <c r="C21" s="332">
        <v>114.813</v>
      </c>
      <c r="D21" s="332">
        <v>29.364000000000001</v>
      </c>
      <c r="E21" s="332">
        <v>146.17099999999999</v>
      </c>
      <c r="F21" s="332">
        <v>124.387</v>
      </c>
      <c r="G21" s="273"/>
      <c r="H21" s="279" t="s">
        <v>229</v>
      </c>
      <c r="I21" s="380">
        <v>53.667000000000002</v>
      </c>
      <c r="J21" s="380">
        <v>47.954000000000001</v>
      </c>
      <c r="K21" s="380">
        <v>40.76</v>
      </c>
      <c r="L21" s="380">
        <v>42.481000000000002</v>
      </c>
    </row>
    <row r="22" spans="1:14" customFormat="1" ht="15" customHeight="1">
      <c r="A22" s="345"/>
      <c r="B22" s="331" t="s">
        <v>223</v>
      </c>
      <c r="C22" s="332">
        <v>2.1070000000000002</v>
      </c>
      <c r="D22" s="332">
        <v>-1.343</v>
      </c>
      <c r="E22" s="332">
        <f>E21-E23</f>
        <v>3.4429999999999836</v>
      </c>
      <c r="F22" s="332">
        <f>F21-F23</f>
        <v>-1.75</v>
      </c>
      <c r="G22" s="273"/>
      <c r="H22" s="279" t="s">
        <v>166</v>
      </c>
      <c r="I22" s="380"/>
      <c r="J22" s="380"/>
      <c r="K22" s="381" t="s">
        <v>206</v>
      </c>
      <c r="L22" s="381" t="s">
        <v>206</v>
      </c>
    </row>
    <row r="23" spans="1:14" customFormat="1" ht="15" customHeight="1">
      <c r="A23" s="345"/>
      <c r="B23" s="288" t="s">
        <v>13</v>
      </c>
      <c r="C23" s="287">
        <v>112.706</v>
      </c>
      <c r="D23" s="287">
        <v>30.707000000000001</v>
      </c>
      <c r="E23" s="287">
        <v>142.72800000000001</v>
      </c>
      <c r="F23" s="287">
        <v>126.137</v>
      </c>
      <c r="G23" s="273"/>
      <c r="H23" s="279" t="s">
        <v>167</v>
      </c>
      <c r="I23" s="380">
        <v>0</v>
      </c>
      <c r="J23" s="381" t="s">
        <v>206</v>
      </c>
      <c r="K23" s="381" t="s">
        <v>206</v>
      </c>
      <c r="L23" s="381" t="s">
        <v>206</v>
      </c>
    </row>
    <row r="24" spans="1:14" customFormat="1" ht="15" customHeight="1">
      <c r="A24" s="345"/>
      <c r="B24" s="312" t="s">
        <v>80</v>
      </c>
      <c r="C24" s="400">
        <f>C23/(C4)</f>
        <v>0.19787979661778754</v>
      </c>
      <c r="D24" s="400">
        <f>D23/(D4)</f>
        <v>6.1242520941364183E-2</v>
      </c>
      <c r="E24" s="400">
        <f>E23/(E4)</f>
        <v>0.21208924129445647</v>
      </c>
      <c r="F24" s="400">
        <f>F23/(F4)</f>
        <v>0.17061564577542424</v>
      </c>
      <c r="G24" s="273"/>
      <c r="H24" s="279" t="s">
        <v>93</v>
      </c>
      <c r="I24" s="380">
        <v>15.015000000000001</v>
      </c>
      <c r="J24" s="380">
        <v>14.698</v>
      </c>
      <c r="K24" s="380">
        <v>8.2880000000000003</v>
      </c>
      <c r="L24" s="380">
        <v>7.6120000000000001</v>
      </c>
    </row>
    <row r="25" spans="1:14" customFormat="1" ht="15" customHeight="1">
      <c r="A25" s="345"/>
      <c r="B25" s="311" t="s">
        <v>108</v>
      </c>
      <c r="C25" s="310"/>
      <c r="D25" s="310"/>
      <c r="E25" s="310" t="s">
        <v>211</v>
      </c>
      <c r="F25" s="399">
        <f>+((F23/C23)^(1/3)-1)</f>
        <v>3.8241745582956232E-2</v>
      </c>
      <c r="G25" s="273"/>
      <c r="H25" s="279"/>
      <c r="I25" s="380"/>
      <c r="J25" s="380"/>
      <c r="K25" s="380"/>
      <c r="L25" s="380"/>
    </row>
    <row r="26" spans="1:14" customFormat="1" ht="15" customHeight="1">
      <c r="A26" s="345"/>
      <c r="B26" s="278" t="s">
        <v>16</v>
      </c>
      <c r="C26" s="281">
        <v>6.62</v>
      </c>
      <c r="D26" s="281">
        <v>1.81</v>
      </c>
      <c r="E26" s="281">
        <v>8.4</v>
      </c>
      <c r="F26" s="281">
        <v>6.73</v>
      </c>
      <c r="G26" s="273"/>
      <c r="H26" s="286" t="s">
        <v>44</v>
      </c>
      <c r="I26" s="365">
        <f>SUM(I27:I34)</f>
        <v>416.767</v>
      </c>
      <c r="J26" s="365">
        <f>SUM(J27:J34)</f>
        <v>375.52699999999999</v>
      </c>
      <c r="K26" s="365">
        <f>SUM(K27:K34)</f>
        <v>516.28499999999997</v>
      </c>
      <c r="L26" s="365">
        <f>SUM(L27:L34)</f>
        <v>1293.3310000000001</v>
      </c>
    </row>
    <row r="27" spans="1:14" customFormat="1" ht="15" customHeight="1">
      <c r="A27" s="345"/>
      <c r="B27" s="316" t="s">
        <v>2</v>
      </c>
      <c r="C27" s="320" t="s">
        <v>211</v>
      </c>
      <c r="D27" s="401">
        <f>(D26/C26-1)</f>
        <v>-0.72658610271903323</v>
      </c>
      <c r="E27" s="401">
        <f>(E26/D26-1)</f>
        <v>3.6408839779005522</v>
      </c>
      <c r="F27" s="401">
        <f>(F26/E26-1)</f>
        <v>-0.19880952380952377</v>
      </c>
      <c r="G27" s="273"/>
      <c r="H27" s="279" t="s">
        <v>92</v>
      </c>
      <c r="I27" s="372"/>
      <c r="J27" s="372"/>
      <c r="K27" s="372"/>
      <c r="L27" s="372"/>
    </row>
    <row r="28" spans="1:14" customFormat="1" ht="15" customHeight="1" thickBot="1">
      <c r="A28" s="345"/>
      <c r="B28" s="289" t="s">
        <v>108</v>
      </c>
      <c r="C28" s="321" t="s">
        <v>211</v>
      </c>
      <c r="D28" s="321" t="s">
        <v>211</v>
      </c>
      <c r="E28" s="321" t="s">
        <v>211</v>
      </c>
      <c r="F28" s="402">
        <f>+((F26/C26)^(1/3)-1)</f>
        <v>5.5083735090653008E-3</v>
      </c>
      <c r="G28" s="273"/>
      <c r="H28" s="279" t="s">
        <v>175</v>
      </c>
      <c r="I28" s="380">
        <v>73.043000000000006</v>
      </c>
      <c r="J28" s="382">
        <v>83.924000000000007</v>
      </c>
      <c r="K28" s="382">
        <v>92.875</v>
      </c>
      <c r="L28" s="382">
        <v>435.09500000000003</v>
      </c>
      <c r="N28" s="367"/>
    </row>
    <row r="29" spans="1:14" customFormat="1" ht="15" customHeight="1">
      <c r="A29" s="345"/>
      <c r="B29" s="346"/>
      <c r="C29" s="347"/>
      <c r="D29" s="345"/>
      <c r="E29" s="348"/>
      <c r="F29" s="277"/>
      <c r="G29" s="273"/>
      <c r="H29" s="279" t="s">
        <v>160</v>
      </c>
      <c r="I29" s="380">
        <v>138.38200000000001</v>
      </c>
      <c r="J29" s="382">
        <v>126.52500000000001</v>
      </c>
      <c r="K29" s="380">
        <v>187.751</v>
      </c>
      <c r="L29" s="380">
        <v>131.565</v>
      </c>
      <c r="N29" s="367"/>
    </row>
    <row r="30" spans="1:14" customFormat="1" ht="15" customHeight="1" thickBot="1">
      <c r="A30" s="345"/>
      <c r="B30" s="349"/>
      <c r="C30" s="345"/>
      <c r="D30" s="345"/>
      <c r="E30" s="348"/>
      <c r="F30" s="328"/>
      <c r="G30" s="273"/>
      <c r="H30" s="279" t="s">
        <v>157</v>
      </c>
      <c r="I30" s="380">
        <v>190.47399999999999</v>
      </c>
      <c r="J30" s="380">
        <v>146.18299999999999</v>
      </c>
      <c r="K30" s="380">
        <v>151.404</v>
      </c>
      <c r="L30" s="380">
        <v>111.12</v>
      </c>
      <c r="N30" s="229"/>
    </row>
    <row r="31" spans="1:14" customFormat="1" ht="15" customHeight="1" thickBot="1">
      <c r="A31" s="345"/>
      <c r="B31" s="353" t="s">
        <v>102</v>
      </c>
      <c r="C31" s="353"/>
      <c r="D31" s="353"/>
      <c r="E31" s="353"/>
      <c r="F31" s="353"/>
      <c r="G31" s="273"/>
      <c r="H31" s="279" t="s">
        <v>158</v>
      </c>
      <c r="I31" s="380"/>
      <c r="J31" s="382" t="s">
        <v>206</v>
      </c>
      <c r="K31" s="382">
        <v>64.453999999999994</v>
      </c>
      <c r="L31" s="382">
        <v>540.5</v>
      </c>
      <c r="N31" s="368"/>
    </row>
    <row r="32" spans="1:14" customFormat="1" ht="15" customHeight="1">
      <c r="A32" s="345"/>
      <c r="B32" s="325" t="s">
        <v>0</v>
      </c>
      <c r="C32" s="326" t="s">
        <v>212</v>
      </c>
      <c r="D32" s="326" t="s">
        <v>213</v>
      </c>
      <c r="E32" s="298" t="s">
        <v>214</v>
      </c>
      <c r="F32" s="324" t="s">
        <v>219</v>
      </c>
      <c r="G32" s="273"/>
      <c r="H32" s="279" t="s">
        <v>168</v>
      </c>
      <c r="I32" s="380">
        <v>4.2590000000000003</v>
      </c>
      <c r="J32" s="382">
        <v>5.6349999999999998</v>
      </c>
      <c r="K32" s="382">
        <v>6.5789999999999997</v>
      </c>
      <c r="L32" s="382">
        <v>45.494</v>
      </c>
    </row>
    <row r="33" spans="1:12" customFormat="1" ht="15" customHeight="1">
      <c r="A33" s="345"/>
      <c r="B33" s="278" t="s">
        <v>17</v>
      </c>
      <c r="C33" s="384">
        <v>150.011</v>
      </c>
      <c r="D33" s="385">
        <v>190.47399999999999</v>
      </c>
      <c r="E33" s="385">
        <v>146.18299999999999</v>
      </c>
      <c r="F33" s="385">
        <v>151.404</v>
      </c>
      <c r="G33" s="273"/>
      <c r="H33" s="279"/>
      <c r="I33" s="380"/>
      <c r="J33" s="382"/>
      <c r="K33" s="382"/>
      <c r="L33" s="382"/>
    </row>
    <row r="34" spans="1:12" customFormat="1" ht="15" customHeight="1">
      <c r="A34" s="345"/>
      <c r="B34" s="279" t="s">
        <v>18</v>
      </c>
      <c r="C34" s="386">
        <v>83.269000000000005</v>
      </c>
      <c r="D34" s="387">
        <v>27.210999999999999</v>
      </c>
      <c r="E34" s="387">
        <v>119.236</v>
      </c>
      <c r="F34" s="387">
        <v>138.279</v>
      </c>
      <c r="G34" s="273"/>
      <c r="H34" s="279" t="s">
        <v>97</v>
      </c>
      <c r="I34" s="380">
        <v>10.609</v>
      </c>
      <c r="J34" s="380">
        <v>13.26</v>
      </c>
      <c r="K34" s="380">
        <v>13.222</v>
      </c>
      <c r="L34" s="380">
        <v>29.556999999999999</v>
      </c>
    </row>
    <row r="35" spans="1:12" customFormat="1" ht="15" customHeight="1">
      <c r="A35" s="345"/>
      <c r="B35" s="279" t="s">
        <v>79</v>
      </c>
      <c r="C35" s="386">
        <v>-33.557000000000002</v>
      </c>
      <c r="D35" s="387">
        <v>-11.257999999999999</v>
      </c>
      <c r="E35" s="387">
        <v>-182.36</v>
      </c>
      <c r="F35" s="387">
        <v>-793.399</v>
      </c>
      <c r="G35" s="271"/>
      <c r="H35" s="279"/>
      <c r="I35" s="380"/>
      <c r="J35" s="380"/>
      <c r="K35" s="380"/>
      <c r="L35" s="380"/>
    </row>
    <row r="36" spans="1:12" customFormat="1" ht="15" customHeight="1">
      <c r="A36" s="345"/>
      <c r="B36" s="279" t="s">
        <v>19</v>
      </c>
      <c r="C36" s="387">
        <v>-9.2490000000000006</v>
      </c>
      <c r="D36" s="387">
        <v>-60.244</v>
      </c>
      <c r="E36" s="387">
        <v>68.344999999999999</v>
      </c>
      <c r="F36" s="387">
        <v>614.83600000000001</v>
      </c>
      <c r="G36" s="271"/>
      <c r="H36" s="286" t="s">
        <v>46</v>
      </c>
      <c r="I36" s="365">
        <f>SUM(I37:I42)</f>
        <v>142.08199999999999</v>
      </c>
      <c r="J36" s="365">
        <f>SUM(J37:J42)</f>
        <v>116.15899999999999</v>
      </c>
      <c r="K36" s="365">
        <f>SUM(K37:K42)</f>
        <v>144.91199999999998</v>
      </c>
      <c r="L36" s="365">
        <f>SUM(L37:L42)</f>
        <v>157.61699999999999</v>
      </c>
    </row>
    <row r="37" spans="1:12" customFormat="1" ht="15" customHeight="1">
      <c r="A37" s="345"/>
      <c r="B37" s="290" t="s">
        <v>20</v>
      </c>
      <c r="C37" s="365">
        <f>C34+C35+C36</f>
        <v>40.463000000000001</v>
      </c>
      <c r="D37" s="365">
        <f>D34+D35+D36</f>
        <v>-44.290999999999997</v>
      </c>
      <c r="E37" s="365">
        <f>E34+E35+E36</f>
        <v>5.2209999999999894</v>
      </c>
      <c r="F37" s="365">
        <f>F34+F35+F36</f>
        <v>-40.283999999999992</v>
      </c>
      <c r="G37" s="271"/>
      <c r="H37" s="279" t="s">
        <v>227</v>
      </c>
      <c r="I37" s="380">
        <v>8.4359999999999999</v>
      </c>
      <c r="J37" s="380">
        <v>1.042</v>
      </c>
      <c r="K37" s="380">
        <v>8.1359999999999992</v>
      </c>
      <c r="L37" s="380">
        <v>7.4649999999999999</v>
      </c>
    </row>
    <row r="38" spans="1:12" customFormat="1" ht="15" customHeight="1" thickBot="1">
      <c r="A38" s="345"/>
      <c r="B38" s="291" t="s">
        <v>72</v>
      </c>
      <c r="C38" s="365">
        <f>C33+C37</f>
        <v>190.47399999999999</v>
      </c>
      <c r="D38" s="365">
        <f>D33+D37</f>
        <v>146.18299999999999</v>
      </c>
      <c r="E38" s="365">
        <f>E33+E37</f>
        <v>151.404</v>
      </c>
      <c r="F38" s="365">
        <f>F33+F37</f>
        <v>111.12</v>
      </c>
      <c r="G38" s="271"/>
      <c r="H38" s="279" t="s">
        <v>82</v>
      </c>
      <c r="I38" s="383">
        <f>2.264+0.017</f>
        <v>2.2809999999999997</v>
      </c>
      <c r="J38" s="380">
        <f>0.062+0.775</f>
        <v>0.83699999999999997</v>
      </c>
      <c r="K38" s="380">
        <f>6.608+0.082</f>
        <v>6.6899999999999995</v>
      </c>
      <c r="L38" s="380">
        <f>7.832+0.123</f>
        <v>7.9550000000000001</v>
      </c>
    </row>
    <row r="39" spans="1:12" customFormat="1" ht="15" customHeight="1" thickBot="1">
      <c r="A39" s="345"/>
      <c r="B39" s="350"/>
      <c r="C39" s="350"/>
      <c r="D39" s="350"/>
      <c r="E39" s="350"/>
      <c r="F39" s="277"/>
      <c r="G39" s="273"/>
      <c r="H39" s="279" t="s">
        <v>83</v>
      </c>
      <c r="I39" s="380"/>
      <c r="J39" s="380"/>
      <c r="K39" s="380"/>
      <c r="L39" s="380"/>
    </row>
    <row r="40" spans="1:12" customFormat="1" ht="15" customHeight="1">
      <c r="A40" s="345"/>
      <c r="B40" s="297" t="s">
        <v>21</v>
      </c>
      <c r="C40" s="298" t="s">
        <v>212</v>
      </c>
      <c r="D40" s="298" t="s">
        <v>213</v>
      </c>
      <c r="E40" s="298" t="s">
        <v>214</v>
      </c>
      <c r="F40" s="324" t="s">
        <v>219</v>
      </c>
      <c r="G40" s="273"/>
      <c r="H40" s="279" t="s">
        <v>78</v>
      </c>
      <c r="I40" s="380">
        <v>57.902999999999999</v>
      </c>
      <c r="J40" s="380">
        <v>53.956000000000003</v>
      </c>
      <c r="K40" s="380">
        <v>55.305999999999997</v>
      </c>
      <c r="L40" s="380">
        <v>32.140999999999998</v>
      </c>
    </row>
    <row r="41" spans="1:12" customFormat="1" ht="15" customHeight="1">
      <c r="A41" s="345"/>
      <c r="B41" s="278" t="s">
        <v>217</v>
      </c>
      <c r="C41" s="317">
        <f>C34</f>
        <v>83.269000000000005</v>
      </c>
      <c r="D41" s="317">
        <f>D34</f>
        <v>27.210999999999999</v>
      </c>
      <c r="E41" s="317">
        <f>E34</f>
        <v>119.236</v>
      </c>
      <c r="F41" s="317">
        <f>F34</f>
        <v>138.279</v>
      </c>
      <c r="G41" s="273"/>
      <c r="H41" s="279" t="s">
        <v>170</v>
      </c>
      <c r="I41" s="380">
        <v>0</v>
      </c>
      <c r="J41" s="380">
        <v>0</v>
      </c>
      <c r="K41" s="380"/>
      <c r="L41" s="380"/>
    </row>
    <row r="42" spans="1:12" customFormat="1" ht="15" customHeight="1">
      <c r="A42" s="345"/>
      <c r="B42" s="279" t="s">
        <v>28</v>
      </c>
      <c r="C42" s="270">
        <f>-15.288+0.454</f>
        <v>-14.834</v>
      </c>
      <c r="D42" s="270">
        <v>-3.6560000000000001</v>
      </c>
      <c r="E42" s="270">
        <f>-117.7</f>
        <v>-117.7</v>
      </c>
      <c r="F42" s="270">
        <f>-16.44+0.001</f>
        <v>-16.439</v>
      </c>
      <c r="G42" s="273"/>
      <c r="H42" s="279" t="s">
        <v>70</v>
      </c>
      <c r="I42" s="380">
        <v>73.462000000000003</v>
      </c>
      <c r="J42" s="380">
        <v>60.323999999999998</v>
      </c>
      <c r="K42" s="380">
        <v>74.78</v>
      </c>
      <c r="L42" s="380">
        <v>110.056</v>
      </c>
    </row>
    <row r="43" spans="1:12" customFormat="1" ht="15" customHeight="1" thickBot="1">
      <c r="A43" s="345"/>
      <c r="B43" s="299" t="s">
        <v>29</v>
      </c>
      <c r="C43" s="318">
        <f t="shared" ref="C43:D43" si="4">C41-C42</f>
        <v>98.103000000000009</v>
      </c>
      <c r="D43" s="318">
        <f t="shared" si="4"/>
        <v>30.866999999999997</v>
      </c>
      <c r="E43" s="318">
        <f>E41-E42</f>
        <v>236.93600000000001</v>
      </c>
      <c r="F43" s="318">
        <f t="shared" ref="F43" si="5">F41-F42</f>
        <v>154.71799999999999</v>
      </c>
      <c r="G43" s="273"/>
      <c r="H43" s="279"/>
      <c r="I43" s="380"/>
      <c r="J43" s="380"/>
      <c r="K43" s="380"/>
      <c r="L43" s="380"/>
    </row>
    <row r="44" spans="1:12" customFormat="1" ht="15" customHeight="1">
      <c r="A44" s="345"/>
      <c r="B44" s="347"/>
      <c r="C44" s="347"/>
      <c r="D44" s="347"/>
      <c r="E44" s="347"/>
      <c r="F44" s="277"/>
      <c r="G44" s="273"/>
      <c r="H44" s="286" t="s">
        <v>47</v>
      </c>
      <c r="I44" s="365">
        <f t="shared" ref="I44:K44" si="6">(I26-I36)</f>
        <v>274.685</v>
      </c>
      <c r="J44" s="365">
        <f t="shared" si="6"/>
        <v>259.36799999999999</v>
      </c>
      <c r="K44" s="365">
        <f t="shared" si="6"/>
        <v>371.37299999999999</v>
      </c>
      <c r="L44" s="365">
        <f>(L26-L36)</f>
        <v>1135.7140000000002</v>
      </c>
    </row>
    <row r="45" spans="1:12" customFormat="1" ht="15" customHeight="1" thickBot="1">
      <c r="A45" s="345"/>
      <c r="B45" s="345"/>
      <c r="C45" s="345"/>
      <c r="D45" s="345"/>
      <c r="E45" s="345"/>
      <c r="F45" s="277"/>
      <c r="G45" s="273"/>
      <c r="H45" s="286" t="s">
        <v>216</v>
      </c>
      <c r="I45" s="365">
        <f t="shared" ref="I45:K45" si="7">SUM(I46:I51)</f>
        <v>36.936999999999998</v>
      </c>
      <c r="J45" s="365">
        <f t="shared" si="7"/>
        <v>10.898</v>
      </c>
      <c r="K45" s="365">
        <f t="shared" si="7"/>
        <v>71.521999999999991</v>
      </c>
      <c r="L45" s="365">
        <f>SUM(L46:L51)</f>
        <v>11.420999999999999</v>
      </c>
    </row>
    <row r="46" spans="1:12" customFormat="1" ht="15" customHeight="1">
      <c r="A46" s="345"/>
      <c r="B46" s="297" t="s">
        <v>21</v>
      </c>
      <c r="C46" s="327" t="s">
        <v>212</v>
      </c>
      <c r="D46" s="327" t="s">
        <v>213</v>
      </c>
      <c r="E46" s="327" t="s">
        <v>214</v>
      </c>
      <c r="F46" s="370" t="s">
        <v>219</v>
      </c>
      <c r="G46" s="273"/>
      <c r="H46" s="279" t="s">
        <v>48</v>
      </c>
      <c r="I46" s="380">
        <v>4.8159999999999998</v>
      </c>
      <c r="J46" s="380">
        <v>4.7469999999999999</v>
      </c>
      <c r="K46" s="380">
        <v>3.8559999999999999</v>
      </c>
      <c r="L46" s="380">
        <v>5.5110000000000001</v>
      </c>
    </row>
    <row r="47" spans="1:12" customFormat="1" ht="15" customHeight="1">
      <c r="A47" s="345"/>
      <c r="B47" s="279" t="s">
        <v>73</v>
      </c>
      <c r="C47" s="375" t="s">
        <v>211</v>
      </c>
      <c r="D47" s="375" t="s">
        <v>211</v>
      </c>
      <c r="E47" s="375" t="s">
        <v>211</v>
      </c>
      <c r="F47" s="392">
        <v>23246426</v>
      </c>
      <c r="G47" s="273"/>
      <c r="H47" s="279" t="s">
        <v>171</v>
      </c>
      <c r="I47" s="380">
        <v>0</v>
      </c>
      <c r="J47" s="380">
        <v>0</v>
      </c>
      <c r="K47" s="380"/>
      <c r="L47" s="380"/>
    </row>
    <row r="48" spans="1:12" customFormat="1" ht="15" customHeight="1">
      <c r="A48" s="345"/>
      <c r="B48" s="279" t="s">
        <v>74</v>
      </c>
      <c r="C48" s="376" t="s">
        <v>211</v>
      </c>
      <c r="D48" s="376" t="s">
        <v>211</v>
      </c>
      <c r="E48" s="376" t="s">
        <v>211</v>
      </c>
      <c r="F48" s="393">
        <f>F47*L58/1000000</f>
        <v>2566.4054304000001</v>
      </c>
      <c r="G48" s="273"/>
      <c r="H48" s="279" t="s">
        <v>83</v>
      </c>
      <c r="I48" s="380">
        <v>0</v>
      </c>
      <c r="J48" s="380"/>
      <c r="K48" s="380"/>
      <c r="L48" s="380"/>
    </row>
    <row r="49" spans="1:17" customFormat="1" ht="15" customHeight="1">
      <c r="A49" s="345"/>
      <c r="B49" s="279" t="s">
        <v>77</v>
      </c>
      <c r="C49" s="377">
        <f t="shared" ref="C49:E49" si="8">I10</f>
        <v>38.954999999999998</v>
      </c>
      <c r="D49" s="377">
        <f t="shared" si="8"/>
        <v>5.5969999999999995</v>
      </c>
      <c r="E49" s="377">
        <f t="shared" si="8"/>
        <v>75.801999999999992</v>
      </c>
      <c r="F49" s="377">
        <f>L10</f>
        <v>13.375</v>
      </c>
      <c r="G49" s="273"/>
      <c r="H49" s="279" t="s">
        <v>106</v>
      </c>
      <c r="I49" s="380">
        <v>1.6020000000000001</v>
      </c>
      <c r="J49" s="380">
        <v>1.5960000000000001</v>
      </c>
      <c r="K49" s="380"/>
      <c r="L49" s="380"/>
    </row>
    <row r="50" spans="1:17" customFormat="1" ht="15" customHeight="1">
      <c r="A50" s="345"/>
      <c r="B50" s="279" t="s">
        <v>75</v>
      </c>
      <c r="C50" s="377">
        <f t="shared" ref="C50:E50" si="9">SUM(I30:I31)</f>
        <v>190.47399999999999</v>
      </c>
      <c r="D50" s="377">
        <f t="shared" si="9"/>
        <v>146.18299999999999</v>
      </c>
      <c r="E50" s="377">
        <f t="shared" si="9"/>
        <v>215.858</v>
      </c>
      <c r="F50" s="377">
        <f>SUM(L30:L31)</f>
        <v>651.62</v>
      </c>
      <c r="G50" s="273"/>
      <c r="H50" s="279" t="s">
        <v>228</v>
      </c>
      <c r="I50" s="380">
        <v>30.518999999999998</v>
      </c>
      <c r="J50" s="380">
        <v>4.5549999999999997</v>
      </c>
      <c r="K50" s="380">
        <v>67.665999999999997</v>
      </c>
      <c r="L50" s="380">
        <v>5.91</v>
      </c>
    </row>
    <row r="51" spans="1:17" customFormat="1" ht="15" customHeight="1" thickBot="1">
      <c r="A51" s="345"/>
      <c r="B51" s="289" t="s">
        <v>76</v>
      </c>
      <c r="C51" s="378" t="s">
        <v>211</v>
      </c>
      <c r="D51" s="378" t="s">
        <v>211</v>
      </c>
      <c r="E51" s="378" t="s">
        <v>211</v>
      </c>
      <c r="F51" s="379">
        <f>F49-F50+F48</f>
        <v>1928.1604304000002</v>
      </c>
      <c r="G51" s="273"/>
      <c r="H51" s="279" t="s">
        <v>161</v>
      </c>
      <c r="I51" s="380">
        <v>0</v>
      </c>
      <c r="J51" s="380">
        <v>0</v>
      </c>
      <c r="K51" s="380"/>
      <c r="L51" s="380"/>
    </row>
    <row r="52" spans="1:17" customFormat="1" ht="15" customHeight="1">
      <c r="A52" s="345"/>
      <c r="B52" s="277"/>
      <c r="C52" s="277"/>
      <c r="D52" s="277"/>
      <c r="E52" s="277"/>
      <c r="F52" s="277"/>
      <c r="G52" s="273"/>
      <c r="H52" s="286" t="s">
        <v>88</v>
      </c>
      <c r="I52" s="365">
        <f>I15+I26</f>
        <v>585.02700000000004</v>
      </c>
      <c r="J52" s="365">
        <f>J15+J26</f>
        <v>532.62900000000002</v>
      </c>
      <c r="K52" s="365">
        <f>K15+K26</f>
        <v>765.90499999999997</v>
      </c>
      <c r="L52" s="365">
        <f>L15+L26</f>
        <v>1544.0430000000001</v>
      </c>
    </row>
    <row r="53" spans="1:17" customFormat="1" ht="15" customHeight="1" thickBot="1">
      <c r="A53" s="269"/>
      <c r="B53" s="277"/>
      <c r="C53" s="277"/>
      <c r="D53" s="277"/>
      <c r="E53" s="277"/>
      <c r="F53" s="277"/>
      <c r="G53" s="273"/>
      <c r="H53" s="292" t="s">
        <v>89</v>
      </c>
      <c r="I53" s="371">
        <f>I45+I36+I6+I7</f>
        <v>585.02700000000004</v>
      </c>
      <c r="J53" s="371">
        <f>J45+J36+J6+J7</f>
        <v>532.62900000000002</v>
      </c>
      <c r="K53" s="365">
        <f>K45+K36+K6+K7</f>
        <v>765.90599999999995</v>
      </c>
      <c r="L53" s="365">
        <f>L45+L36+L6</f>
        <v>1544.0429999999999</v>
      </c>
    </row>
    <row r="54" spans="1:17" customFormat="1" ht="15" customHeight="1">
      <c r="A54" s="269"/>
      <c r="B54" s="277"/>
      <c r="C54" s="277"/>
      <c r="D54" s="277"/>
      <c r="E54" s="277"/>
      <c r="F54" s="277"/>
      <c r="G54" s="273"/>
      <c r="H54" s="322"/>
      <c r="I54" s="280"/>
      <c r="J54" s="280"/>
      <c r="K54" s="323"/>
      <c r="L54" s="323"/>
      <c r="N54" s="369"/>
    </row>
    <row r="55" spans="1:17" customFormat="1" ht="15" customHeight="1" thickBot="1">
      <c r="A55" s="269"/>
      <c r="B55" s="277"/>
      <c r="C55" s="277"/>
      <c r="D55" s="277"/>
      <c r="E55" s="277"/>
      <c r="F55" s="277"/>
      <c r="G55" s="273"/>
      <c r="H55" s="322"/>
      <c r="I55" s="280"/>
      <c r="J55" s="280"/>
      <c r="K55" s="323"/>
      <c r="L55" s="323"/>
      <c r="M55" s="280"/>
      <c r="N55" s="280"/>
      <c r="O55" s="280"/>
      <c r="P55" s="280"/>
      <c r="Q55" s="280"/>
    </row>
    <row r="56" spans="1:17" customFormat="1" ht="15" customHeight="1">
      <c r="A56" s="269"/>
      <c r="B56" s="277"/>
      <c r="C56" s="277"/>
      <c r="D56" s="277"/>
      <c r="E56" s="277"/>
      <c r="F56" s="277"/>
      <c r="G56" s="273"/>
      <c r="H56" s="394" t="s">
        <v>49</v>
      </c>
      <c r="I56" s="334"/>
      <c r="J56" s="334"/>
      <c r="K56" s="334"/>
      <c r="L56" s="335"/>
      <c r="M56" s="280"/>
      <c r="N56" s="280"/>
      <c r="O56" s="280"/>
      <c r="P56" s="280"/>
      <c r="Q56" s="280"/>
    </row>
    <row r="57" spans="1:17" customFormat="1" ht="15" customHeight="1">
      <c r="A57" s="269"/>
      <c r="B57" s="277"/>
      <c r="C57" s="277"/>
      <c r="D57" s="277"/>
      <c r="E57" s="277"/>
      <c r="F57" s="277"/>
      <c r="G57" s="273"/>
      <c r="H57" s="395" t="s">
        <v>50</v>
      </c>
      <c r="I57" s="284" t="s">
        <v>212</v>
      </c>
      <c r="J57" s="284" t="s">
        <v>213</v>
      </c>
      <c r="K57" s="284" t="s">
        <v>214</v>
      </c>
      <c r="L57" s="285" t="s">
        <v>219</v>
      </c>
      <c r="M57" s="295"/>
      <c r="N57" s="295"/>
      <c r="O57" s="295"/>
      <c r="P57" s="295"/>
      <c r="Q57" s="295"/>
    </row>
    <row r="58" spans="1:17" customFormat="1" ht="15" customHeight="1">
      <c r="A58" s="269"/>
      <c r="B58" s="277"/>
      <c r="C58" s="277"/>
      <c r="D58" s="277"/>
      <c r="E58" s="277"/>
      <c r="F58" s="277"/>
      <c r="G58" s="273"/>
      <c r="H58" s="296" t="s">
        <v>51</v>
      </c>
      <c r="I58" s="300" t="s">
        <v>211</v>
      </c>
      <c r="J58" s="300" t="s">
        <v>211</v>
      </c>
      <c r="K58" s="300" t="s">
        <v>211</v>
      </c>
      <c r="L58" s="391">
        <v>110.4</v>
      </c>
    </row>
    <row r="59" spans="1:17" customFormat="1" ht="15" customHeight="1">
      <c r="A59" s="269"/>
      <c r="B59" s="277"/>
      <c r="C59" s="277"/>
      <c r="D59" s="277"/>
      <c r="E59" s="277"/>
      <c r="F59" s="277"/>
      <c r="G59" s="273"/>
      <c r="H59" s="301" t="s">
        <v>52</v>
      </c>
      <c r="I59" s="302">
        <f t="shared" ref="I59:K59" si="10">C26</f>
        <v>6.62</v>
      </c>
      <c r="J59" s="302">
        <f t="shared" si="10"/>
        <v>1.81</v>
      </c>
      <c r="K59" s="302">
        <f t="shared" si="10"/>
        <v>8.4</v>
      </c>
      <c r="L59" s="302">
        <f>F26</f>
        <v>6.73</v>
      </c>
    </row>
    <row r="60" spans="1:17" customFormat="1" ht="15" customHeight="1">
      <c r="A60" s="269"/>
      <c r="B60" s="277"/>
      <c r="C60" s="277"/>
      <c r="D60" s="277"/>
      <c r="E60" s="277"/>
      <c r="F60" s="277"/>
      <c r="G60" s="273"/>
      <c r="H60" s="303" t="s">
        <v>53</v>
      </c>
      <c r="I60" s="302" t="s">
        <v>211</v>
      </c>
      <c r="J60" s="302" t="s">
        <v>211</v>
      </c>
      <c r="K60" s="302" t="s">
        <v>211</v>
      </c>
      <c r="L60" s="302">
        <f>(L6*1000000)/F47</f>
        <v>59.149092423927875</v>
      </c>
    </row>
    <row r="61" spans="1:17" customFormat="1" ht="15" customHeight="1">
      <c r="A61" s="269"/>
      <c r="B61" s="277"/>
      <c r="C61" s="277"/>
      <c r="D61" s="277"/>
      <c r="E61" s="277"/>
      <c r="F61" s="277"/>
      <c r="G61" s="273"/>
      <c r="H61" s="303" t="s">
        <v>55</v>
      </c>
      <c r="I61" s="302" t="s">
        <v>211</v>
      </c>
      <c r="J61" s="302" t="s">
        <v>211</v>
      </c>
      <c r="K61" s="302" t="s">
        <v>211</v>
      </c>
      <c r="L61" s="302">
        <f>L58/L59</f>
        <v>16.404160475482911</v>
      </c>
    </row>
    <row r="62" spans="1:17" customFormat="1" ht="15" customHeight="1">
      <c r="A62" s="269"/>
      <c r="B62" s="277"/>
      <c r="C62" s="277"/>
      <c r="D62" s="277"/>
      <c r="E62" s="277"/>
      <c r="F62" s="277"/>
      <c r="G62" s="273"/>
      <c r="H62" s="303" t="s">
        <v>56</v>
      </c>
      <c r="I62" s="302" t="s">
        <v>211</v>
      </c>
      <c r="J62" s="302" t="s">
        <v>211</v>
      </c>
      <c r="K62" s="302" t="s">
        <v>211</v>
      </c>
      <c r="L62" s="302">
        <f>L58/L60</f>
        <v>1.866469889491311</v>
      </c>
    </row>
    <row r="63" spans="1:17" customFormat="1" ht="15" customHeight="1">
      <c r="A63" s="269"/>
      <c r="B63" s="277"/>
      <c r="C63" s="277"/>
      <c r="D63" s="277"/>
      <c r="E63" s="277"/>
      <c r="F63" s="277"/>
      <c r="G63" s="273"/>
      <c r="H63" s="303" t="s">
        <v>57</v>
      </c>
      <c r="I63" s="302" t="s">
        <v>211</v>
      </c>
      <c r="J63" s="302" t="s">
        <v>211</v>
      </c>
      <c r="K63" s="302" t="s">
        <v>211</v>
      </c>
      <c r="L63" s="302">
        <f>F51/F11</f>
        <v>14.474592225808884</v>
      </c>
    </row>
    <row r="64" spans="1:17" customFormat="1" ht="15" customHeight="1">
      <c r="A64" s="269"/>
      <c r="B64" s="277"/>
      <c r="C64" s="277"/>
      <c r="D64" s="277"/>
      <c r="E64" s="277"/>
      <c r="F64" s="277"/>
      <c r="G64" s="273"/>
      <c r="H64" s="304" t="s">
        <v>58</v>
      </c>
      <c r="I64" s="305">
        <f t="shared" ref="I64:J64" si="11">(C23/(I6+I7))</f>
        <v>0.27759551535930327</v>
      </c>
      <c r="J64" s="305">
        <f t="shared" si="11"/>
        <v>7.5712820411665507E-2</v>
      </c>
      <c r="K64" s="305">
        <f>(E23/(K6+K7))</f>
        <v>0.25975481917185955</v>
      </c>
      <c r="L64" s="305">
        <f>(F23/L6)</f>
        <v>9.1735666415758491E-2</v>
      </c>
    </row>
    <row r="65" spans="1:12" customFormat="1" ht="15" customHeight="1">
      <c r="A65" s="269"/>
      <c r="B65" s="277"/>
      <c r="C65" s="277"/>
      <c r="D65" s="277"/>
      <c r="E65" s="277"/>
      <c r="F65" s="277"/>
      <c r="G65" s="273"/>
      <c r="H65" s="304" t="s">
        <v>59</v>
      </c>
      <c r="I65" s="305">
        <f t="shared" ref="I65:J65" si="12">(C11-C16)/I11</f>
        <v>0.30113219474201086</v>
      </c>
      <c r="J65" s="305">
        <f t="shared" si="12"/>
        <v>7.6764232717842773E-2</v>
      </c>
      <c r="K65" s="305">
        <f>(E11-E16)/K11</f>
        <v>0.24684296466632524</v>
      </c>
      <c r="L65" s="305">
        <f>(F11-F16)/L11</f>
        <v>8.1322768038106563E-2</v>
      </c>
    </row>
    <row r="66" spans="1:12" customFormat="1" ht="15" customHeight="1">
      <c r="A66" s="269"/>
      <c r="B66" s="277"/>
      <c r="C66" s="277"/>
      <c r="D66" s="277"/>
      <c r="E66" s="277"/>
      <c r="F66" s="277"/>
      <c r="G66" s="273"/>
      <c r="H66" s="303" t="s">
        <v>60</v>
      </c>
      <c r="I66" s="302">
        <f t="shared" ref="I66:K66" si="13">I10/I6</f>
        <v>9.8766778055545693E-2</v>
      </c>
      <c r="J66" s="302">
        <f t="shared" si="13"/>
        <v>1.4003878150997684E-2</v>
      </c>
      <c r="K66" s="302">
        <f t="shared" si="13"/>
        <v>0.14033353327557224</v>
      </c>
      <c r="L66" s="302">
        <f>L10/L6</f>
        <v>9.7272373555005263E-3</v>
      </c>
    </row>
    <row r="67" spans="1:12" customFormat="1" ht="15" customHeight="1">
      <c r="A67" s="269"/>
      <c r="B67" s="277"/>
      <c r="C67" s="277"/>
      <c r="D67" s="277"/>
      <c r="E67" s="277"/>
      <c r="F67" s="277"/>
      <c r="G67" s="273"/>
      <c r="H67" s="303" t="s">
        <v>61</v>
      </c>
      <c r="I67" s="306">
        <f t="shared" ref="I67:K67" si="14">(I10-SUM(I30:I31))/I6</f>
        <v>-0.38416232689508995</v>
      </c>
      <c r="J67" s="306">
        <f t="shared" si="14"/>
        <v>-0.35175079752298738</v>
      </c>
      <c r="K67" s="306">
        <f t="shared" si="14"/>
        <v>-0.25928805752412271</v>
      </c>
      <c r="L67" s="306">
        <f>(L10-SUM(L30:L31))/L6</f>
        <v>-0.46417649390365856</v>
      </c>
    </row>
    <row r="68" spans="1:12" customFormat="1" ht="15" customHeight="1">
      <c r="A68" s="269"/>
      <c r="B68" s="277"/>
      <c r="C68" s="277"/>
      <c r="D68" s="277"/>
      <c r="E68" s="277"/>
      <c r="F68" s="277"/>
      <c r="G68" s="273"/>
      <c r="H68" s="303" t="s">
        <v>63</v>
      </c>
      <c r="I68" s="307">
        <f t="shared" ref="I68:K68" si="15">(AVERAGE(H29:I29)/C4*365)</f>
        <v>88.680245378953884</v>
      </c>
      <c r="J68" s="307">
        <f t="shared" si="15"/>
        <v>96.421075987235753</v>
      </c>
      <c r="K68" s="307">
        <f>(AVERAGE(J29:K29)/E4*365)</f>
        <v>85.228244685435442</v>
      </c>
      <c r="L68" s="307">
        <f>(AVERAGE(K29:L29)/F4*365)</f>
        <v>78.824260623152838</v>
      </c>
    </row>
    <row r="69" spans="1:12" customFormat="1" ht="15" customHeight="1">
      <c r="A69" s="269"/>
      <c r="B69" s="277"/>
      <c r="C69" s="277"/>
      <c r="D69" s="277"/>
      <c r="E69" s="277"/>
      <c r="F69" s="277"/>
      <c r="G69" s="273"/>
      <c r="H69" s="303" t="s">
        <v>64</v>
      </c>
      <c r="I69" s="307">
        <f t="shared" ref="I69:K69" si="16">AVERAGE(H38:I38)/(C9)*365</f>
        <v>2.4073426169024184</v>
      </c>
      <c r="J69" s="307">
        <f t="shared" si="16"/>
        <v>1.6221389822487904</v>
      </c>
      <c r="K69" s="307">
        <f>AVERAGE(J38:K38)/(E9)*365</f>
        <v>3.5781424195380138</v>
      </c>
      <c r="L69" s="307">
        <f>AVERAGE(K38:L38)/(F9)*365</f>
        <v>5.8650187402348894</v>
      </c>
    </row>
    <row r="70" spans="1:12" customFormat="1" ht="15" customHeight="1">
      <c r="A70" s="269"/>
      <c r="B70" s="277"/>
      <c r="C70" s="277"/>
      <c r="D70" s="277"/>
      <c r="E70" s="277"/>
      <c r="F70" s="277"/>
      <c r="G70" s="273"/>
      <c r="H70" s="303" t="s">
        <v>81</v>
      </c>
      <c r="I70" s="307">
        <f t="shared" ref="I70:K70" si="17">(I68-I69)</f>
        <v>86.272902762051473</v>
      </c>
      <c r="J70" s="307">
        <f t="shared" si="17"/>
        <v>94.798937004986968</v>
      </c>
      <c r="K70" s="307">
        <f>(K68-K69)</f>
        <v>81.650102265897431</v>
      </c>
      <c r="L70" s="307">
        <f>(L68-L69)</f>
        <v>72.959241882917951</v>
      </c>
    </row>
    <row r="71" spans="1:12" customFormat="1" ht="15" customHeight="1">
      <c r="A71" s="269"/>
      <c r="B71" s="277"/>
      <c r="C71" s="277"/>
      <c r="D71" s="277"/>
      <c r="E71" s="277"/>
      <c r="F71" s="277"/>
      <c r="G71" s="269"/>
      <c r="H71" s="303" t="s">
        <v>66</v>
      </c>
      <c r="I71" s="307">
        <f t="shared" ref="I71:K71" si="18">AVERAGE(H44:I44)/C4*365</f>
        <v>176.02819154165965</v>
      </c>
      <c r="J71" s="307">
        <f t="shared" si="18"/>
        <v>194.38506681292381</v>
      </c>
      <c r="K71" s="307">
        <f>AVERAGE(J44:K44)/E4*365</f>
        <v>171.05012244376354</v>
      </c>
      <c r="L71" s="307">
        <f>AVERAGE(K44:L44)/F4*365</f>
        <v>372.02964608652724</v>
      </c>
    </row>
    <row r="72" spans="1:12" customFormat="1" ht="15" customHeight="1" thickBot="1">
      <c r="A72" s="269"/>
      <c r="B72" s="277"/>
      <c r="C72" s="277"/>
      <c r="D72" s="277"/>
      <c r="E72" s="277"/>
      <c r="F72" s="277"/>
      <c r="G72" s="269"/>
      <c r="H72" s="308" t="s">
        <v>86</v>
      </c>
      <c r="I72" s="329" t="s">
        <v>211</v>
      </c>
      <c r="J72" s="329" t="s">
        <v>211</v>
      </c>
      <c r="K72" s="329" t="s">
        <v>211</v>
      </c>
      <c r="L72" s="329" t="s">
        <v>211</v>
      </c>
    </row>
    <row r="73" spans="1:12" customFormat="1" ht="15" customHeight="1">
      <c r="A73" s="269"/>
      <c r="B73" s="277"/>
      <c r="C73" s="277"/>
      <c r="D73" s="277"/>
      <c r="E73" s="277"/>
      <c r="F73" s="277"/>
      <c r="G73" s="269"/>
      <c r="H73" s="269"/>
      <c r="I73" s="269"/>
      <c r="J73" s="277"/>
      <c r="K73" s="277"/>
      <c r="L73" s="277"/>
    </row>
    <row r="74" spans="1:12" customFormat="1" ht="15" customHeight="1">
      <c r="A74" s="269"/>
      <c r="B74" s="277"/>
      <c r="C74" s="277"/>
      <c r="D74" s="277"/>
      <c r="E74" s="277"/>
      <c r="F74" s="277"/>
      <c r="G74" s="269"/>
      <c r="H74" s="269"/>
      <c r="I74" s="269"/>
      <c r="J74" s="277"/>
      <c r="K74" s="277"/>
      <c r="L74" s="277"/>
    </row>
    <row r="1048573" spans="7:9" ht="15" customHeight="1">
      <c r="H1048573" s="277"/>
      <c r="I1048573" s="277"/>
    </row>
    <row r="1048576" spans="7:9" ht="15" customHeight="1">
      <c r="G1048576" s="277"/>
    </row>
  </sheetData>
  <mergeCells count="8">
    <mergeCell ref="A1:A52"/>
    <mergeCell ref="B29:E30"/>
    <mergeCell ref="B39:E39"/>
    <mergeCell ref="B44:E45"/>
    <mergeCell ref="B2:F2"/>
    <mergeCell ref="B31:F31"/>
    <mergeCell ref="B1:L1"/>
    <mergeCell ref="H2:L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3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359" t="s">
        <v>182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183</v>
      </c>
      <c r="C4" s="111" t="s">
        <v>184</v>
      </c>
      <c r="D4" s="111" t="s">
        <v>185</v>
      </c>
      <c r="E4" s="111" t="s">
        <v>186</v>
      </c>
      <c r="F4" s="110"/>
      <c r="H4" s="120" t="s">
        <v>124</v>
      </c>
      <c r="I4" s="111" t="s">
        <v>183</v>
      </c>
      <c r="J4" s="111" t="s">
        <v>184</v>
      </c>
      <c r="K4" s="111" t="s">
        <v>185</v>
      </c>
      <c r="L4" s="111" t="s">
        <v>196</v>
      </c>
      <c r="M4" s="110"/>
    </row>
    <row r="5" spans="1:13">
      <c r="A5" s="92" t="s">
        <v>193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Consolidated!J6</f>
        <v>399.67500000000001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197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Consolidated!J8/10</f>
        <v>0.45549999999999996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Consolidated!J9/10</f>
        <v>0.1042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0.55969999999999998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41.542800000000007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Consolidated!J15/10</f>
        <v>15.7102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Consolidated!J26/10</f>
        <v>37.552700000000002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187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198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202</v>
      </c>
      <c r="I14" s="102">
        <f>Consolidated!I29/10</f>
        <v>13.838200000000001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 t="e">
        <f>Consolidated!#REF!/10</f>
        <v>#REF!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188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189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Consolidated!J36/10</f>
        <v>11.6159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203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199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Consolidated!I37/10</f>
        <v>0.84360000000000002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200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25.832600000000003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190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201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191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183</v>
      </c>
      <c r="J25" s="111" t="s">
        <v>205</v>
      </c>
      <c r="K25" s="111" t="s">
        <v>185</v>
      </c>
      <c r="L25" s="111" t="s">
        <v>196</v>
      </c>
      <c r="M25" s="110"/>
    </row>
    <row r="26" spans="1:13">
      <c r="A26" s="92" t="s">
        <v>204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192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7.2048612703508371E-3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360" t="s">
        <v>194</v>
      </c>
      <c r="B1" s="361"/>
      <c r="C1" s="361"/>
      <c r="D1" s="361"/>
      <c r="E1" s="361"/>
      <c r="F1" s="361"/>
      <c r="G1" s="361"/>
      <c r="H1" s="361"/>
      <c r="I1" s="362"/>
    </row>
    <row r="2" spans="1:9" s="144" customFormat="1" ht="28.8">
      <c r="A2" s="363" t="s">
        <v>151</v>
      </c>
      <c r="B2" s="111" t="s">
        <v>183</v>
      </c>
      <c r="C2" s="111" t="s">
        <v>183</v>
      </c>
      <c r="D2" s="111" t="s">
        <v>195</v>
      </c>
      <c r="E2" s="111" t="s">
        <v>195</v>
      </c>
      <c r="F2" s="111" t="s">
        <v>185</v>
      </c>
      <c r="G2" s="111" t="s">
        <v>185</v>
      </c>
      <c r="H2" s="111" t="s">
        <v>196</v>
      </c>
      <c r="I2" s="111" t="s">
        <v>196</v>
      </c>
    </row>
    <row r="3" spans="1:9" s="144" customFormat="1" ht="31.2">
      <c r="A3" s="364"/>
      <c r="B3" s="145" t="s">
        <v>208</v>
      </c>
      <c r="C3" s="145" t="s">
        <v>209</v>
      </c>
      <c r="D3" s="145" t="s">
        <v>208</v>
      </c>
      <c r="E3" s="145" t="s">
        <v>209</v>
      </c>
      <c r="F3" s="145" t="s">
        <v>208</v>
      </c>
      <c r="G3" s="145" t="s">
        <v>209</v>
      </c>
      <c r="H3" s="145" t="s">
        <v>208</v>
      </c>
      <c r="I3" s="145" t="s">
        <v>209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 t="e">
        <f>Consolidated!#REF!</f>
        <v>#REF!</v>
      </c>
      <c r="C6" s="117">
        <f>Consolidated!C4</f>
        <v>569.56799999999998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e">
        <f>Consolidated!#REF!</f>
        <v>#REF!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e">
        <f>Consolidated!#REF!</f>
        <v>#REF!</v>
      </c>
      <c r="C8" s="236" t="str">
        <f>Consolidated!C13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 t="e">
        <f>Consolidated!#REF!</f>
        <v>#REF!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 t="e">
        <f>Consolidated!#REF!</f>
        <v>#REF!</v>
      </c>
      <c r="C10" s="253">
        <f>Consolidated!C16</f>
        <v>7.8410000000000002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 t="e">
        <f>Consolidated!#REF!</f>
        <v>#REF!</v>
      </c>
      <c r="C11" s="235">
        <f>Consolidated!C25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 t="e">
        <f>+B11/B$6</f>
        <v>#REF!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e">
        <f>Consolidated!#REF!</f>
        <v>#REF!</v>
      </c>
      <c r="C14" s="252" t="str">
        <f>Consolidated!C28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Consolidated!K6</f>
        <v>540.15599999999995</v>
      </c>
      <c r="C18" s="235">
        <f>Consolidated!L6</f>
        <v>1375.0049999999999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Consolidated!K10</f>
        <v>75.801999999999992</v>
      </c>
      <c r="C19" s="254">
        <f>Consolidated!L10</f>
        <v>13.375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Consolidated!K8</f>
        <v>67.665999999999997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206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Consolidated!K9</f>
        <v>8.1359999999999992</v>
      </c>
      <c r="C21" s="231">
        <f>Consolidated!L9</f>
        <v>7.4649999999999999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206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 t="e">
        <f>Consolidated!#REF!</f>
        <v>#REF!</v>
      </c>
      <c r="C24" s="266">
        <f>Consolidated!C36</f>
        <v>-9.2490000000000006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 t="e">
        <f>Consolidated!#REF!</f>
        <v>#REF!</v>
      </c>
      <c r="C25" s="262">
        <f>Consolidated!C45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Consolidated!C49</f>
        <v>38.954999999999998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 t="e">
        <f>Consolidated!#REF!</f>
        <v>#REF!</v>
      </c>
      <c r="C28" s="264">
        <f>Consolidated!C50</f>
        <v>190.47399999999999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Consolidated!#REF!</f>
        <v>#REF!</v>
      </c>
      <c r="C31" s="232" t="str">
        <f>Consolidated!I61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Consolidated!#REF!</f>
        <v>#REF!</v>
      </c>
      <c r="C33" s="232" t="str">
        <f>Consolidated!I62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Consolidated!#REF!</f>
        <v>#REF!</v>
      </c>
      <c r="C34" s="265" t="str">
        <f>Consolidated!I63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210</v>
      </c>
      <c r="B37" s="252" t="e">
        <f>Consolidated!#REF!</f>
        <v>#REF!</v>
      </c>
      <c r="C37" s="252" t="str">
        <f>Consolidated!I58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540.15599999999995</v>
      </c>
      <c r="C38" s="252">
        <f>C18</f>
        <v>1375.0049999999999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e">
        <f>Consolidated!#REF!</f>
        <v>#REF!</v>
      </c>
      <c r="C39" s="252" t="str">
        <f>Consolidated!I60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 t="e">
        <f>Consolidated!#REF!</f>
        <v>#REF!</v>
      </c>
      <c r="C40" s="125">
        <f>Consolidated!I64</f>
        <v>0.27759551535930327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 t="e">
        <f>Consolidated!#REF!</f>
        <v>#REF!</v>
      </c>
      <c r="C41" s="125">
        <f>Consolidated!I65</f>
        <v>0.30113219474201086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7.2048612703508371E-3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 t="e">
        <f>Consolidated!#REF!</f>
        <v>#REF!</v>
      </c>
      <c r="C43" s="228">
        <f>Consolidated!I68</f>
        <v>88.680245378953884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206</v>
      </c>
      <c r="D44" s="251" t="s">
        <v>206</v>
      </c>
      <c r="E44" s="127"/>
      <c r="F44" s="251" t="s">
        <v>206</v>
      </c>
      <c r="G44" s="127"/>
      <c r="H44" s="251" t="s">
        <v>206</v>
      </c>
      <c r="I44" s="127"/>
    </row>
    <row r="45" spans="1:9">
      <c r="A45" s="126" t="s">
        <v>130</v>
      </c>
      <c r="B45" s="228" t="e">
        <f>Consolidated!#REF!</f>
        <v>#REF!</v>
      </c>
      <c r="C45" s="228">
        <f>Consolidated!I69</f>
        <v>2.4073426169024184</v>
      </c>
      <c r="D45" s="251" t="s">
        <v>206</v>
      </c>
      <c r="E45" s="127"/>
      <c r="F45" s="251" t="s">
        <v>206</v>
      </c>
      <c r="G45" s="127"/>
      <c r="H45" s="251" t="s">
        <v>206</v>
      </c>
      <c r="I45" s="127"/>
    </row>
    <row r="46" spans="1:9">
      <c r="A46" s="126" t="s">
        <v>129</v>
      </c>
      <c r="B46" s="256" t="e">
        <f>Consolidated!#REF!</f>
        <v>#REF!</v>
      </c>
      <c r="C46" s="228">
        <f>Consolidated!I70</f>
        <v>86.272902762051473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 t="e">
        <f>Consolidated!#REF!</f>
        <v>#REF!</v>
      </c>
      <c r="C47" s="228">
        <f>Consolidated!I71</f>
        <v>176.02819154165965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e">
        <f>Consolidated!#REF!</f>
        <v>#REF!</v>
      </c>
      <c r="C48" s="232">
        <f>Consolidated!I66</f>
        <v>9.8766778055545693E-2</v>
      </c>
      <c r="D48" s="128">
        <v>0.19</v>
      </c>
      <c r="E48" s="128">
        <v>0.19</v>
      </c>
      <c r="F48" s="128">
        <v>0.06</v>
      </c>
      <c r="G48" s="261" t="s">
        <v>206</v>
      </c>
      <c r="H48" s="128">
        <v>0.4</v>
      </c>
      <c r="I48" s="128">
        <v>0.28999999999999998</v>
      </c>
    </row>
    <row r="49" spans="1:9">
      <c r="A49" s="126" t="s">
        <v>127</v>
      </c>
      <c r="B49" s="232" t="e">
        <f>Consolidated!#REF!</f>
        <v>#REF!</v>
      </c>
      <c r="C49" s="232">
        <f>Consolidated!I67</f>
        <v>-0.38416232689508995</v>
      </c>
      <c r="D49" s="128">
        <v>0.19</v>
      </c>
      <c r="E49" s="128">
        <v>0.14000000000000001</v>
      </c>
      <c r="F49" s="128">
        <v>0.06</v>
      </c>
      <c r="G49" s="261" t="s">
        <v>206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e">
        <f>Consolidated!#REF!</f>
        <v>#REF!</v>
      </c>
      <c r="C51" s="267" t="str">
        <f>Consolidated!I72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2025-06-05T09:22:16Z</dcterms:modified>
</cp:coreProperties>
</file>