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Q2H1-FY25\Infollion\"/>
    </mc:Choice>
  </mc:AlternateContent>
  <xr:revisionPtr revIDLastSave="0" documentId="8_{49C73FC5-713A-40E7-B3A0-A1D04D83F5A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Consolidated!$B$1:$X$79</definedName>
    <definedName name="_xlnm.Print_Area" localSheetId="3">'Peer Analysis Final'!$A$1:$I$51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5" l="1"/>
  <c r="G47" i="5"/>
  <c r="G31" i="5"/>
  <c r="F31" i="5"/>
  <c r="E36" i="5"/>
  <c r="F40" i="5"/>
  <c r="N44" i="5"/>
  <c r="N35" i="5"/>
  <c r="N25" i="5"/>
  <c r="N15" i="5"/>
  <c r="N10" i="5"/>
  <c r="N6" i="5"/>
  <c r="N58" i="5" s="1"/>
  <c r="F19" i="5"/>
  <c r="G48" i="5"/>
  <c r="G46" i="5"/>
  <c r="G49" i="5" s="1"/>
  <c r="G39" i="5"/>
  <c r="G41" i="5" s="1"/>
  <c r="G35" i="5"/>
  <c r="G7" i="5"/>
  <c r="G11" i="5" s="1"/>
  <c r="G18" i="5" s="1"/>
  <c r="G19" i="5" s="1"/>
  <c r="G14" i="5" l="1"/>
  <c r="G36" i="5"/>
  <c r="N43" i="5"/>
  <c r="N50" i="5"/>
  <c r="N12" i="5" s="1"/>
  <c r="N51" i="5"/>
  <c r="N60" i="5"/>
  <c r="N11" i="5"/>
  <c r="M10" i="5"/>
  <c r="K66" i="5"/>
  <c r="J66" i="5"/>
  <c r="M57" i="5" l="1"/>
  <c r="M59" i="5" l="1"/>
  <c r="N57" i="5"/>
  <c r="N59" i="5" s="1"/>
  <c r="F6" i="5"/>
  <c r="F46" i="5" l="1"/>
  <c r="E19" i="5" l="1"/>
  <c r="D19" i="5"/>
  <c r="C19" i="5"/>
  <c r="L66" i="5"/>
  <c r="M66" i="5"/>
  <c r="J44" i="5" l="1"/>
  <c r="J35" i="5"/>
  <c r="L6" i="5"/>
  <c r="I5" i="6" s="1"/>
  <c r="K6" i="5"/>
  <c r="J6" i="5"/>
  <c r="K15" i="5"/>
  <c r="L15" i="5"/>
  <c r="I10" i="6" s="1"/>
  <c r="I39" i="6" s="1"/>
  <c r="B42" i="7" s="1"/>
  <c r="M15" i="5"/>
  <c r="J15" i="5"/>
  <c r="K25" i="5"/>
  <c r="L25" i="5"/>
  <c r="I11" i="6" s="1"/>
  <c r="M25" i="5"/>
  <c r="J25" i="5"/>
  <c r="C39" i="7"/>
  <c r="D48" i="5"/>
  <c r="C28" i="7" s="1"/>
  <c r="C48" i="5"/>
  <c r="B28" i="7" s="1"/>
  <c r="D47" i="5"/>
  <c r="C27" i="7" s="1"/>
  <c r="C47" i="5"/>
  <c r="C51" i="7"/>
  <c r="B51" i="7"/>
  <c r="C50" i="7"/>
  <c r="B50" i="7"/>
  <c r="B44" i="7"/>
  <c r="C43" i="7"/>
  <c r="B43" i="7"/>
  <c r="B39" i="7"/>
  <c r="I38" i="7"/>
  <c r="H38" i="7"/>
  <c r="G38" i="7"/>
  <c r="F38" i="7"/>
  <c r="E38" i="7"/>
  <c r="D38" i="7"/>
  <c r="C37" i="7"/>
  <c r="B37" i="7"/>
  <c r="I34" i="7"/>
  <c r="G34" i="7"/>
  <c r="E34" i="7"/>
  <c r="C34" i="7"/>
  <c r="B34" i="7"/>
  <c r="I33" i="7"/>
  <c r="G33" i="7"/>
  <c r="E33" i="7"/>
  <c r="C33" i="7"/>
  <c r="B33" i="7"/>
  <c r="C32" i="7"/>
  <c r="B32" i="7"/>
  <c r="C31" i="7"/>
  <c r="B31" i="7"/>
  <c r="C29" i="7"/>
  <c r="B29" i="7"/>
  <c r="I28" i="7"/>
  <c r="G28" i="7"/>
  <c r="E28" i="7"/>
  <c r="C25" i="7"/>
  <c r="B25" i="7"/>
  <c r="C24" i="7"/>
  <c r="B24" i="7"/>
  <c r="C21" i="7"/>
  <c r="B21" i="7"/>
  <c r="F20" i="7"/>
  <c r="B20" i="7"/>
  <c r="I19" i="7"/>
  <c r="H19" i="7"/>
  <c r="E19" i="7"/>
  <c r="D19" i="7"/>
  <c r="C19" i="7"/>
  <c r="B19" i="7"/>
  <c r="C18" i="7"/>
  <c r="C38" i="7" s="1"/>
  <c r="C14" i="7"/>
  <c r="B14" i="7"/>
  <c r="I13" i="7"/>
  <c r="H13" i="7"/>
  <c r="F13" i="7"/>
  <c r="D13" i="7"/>
  <c r="C13" i="7"/>
  <c r="B12" i="7"/>
  <c r="C11" i="7"/>
  <c r="B11" i="7"/>
  <c r="I10" i="7"/>
  <c r="H10" i="7"/>
  <c r="F10" i="7"/>
  <c r="D10" i="7"/>
  <c r="C10" i="7"/>
  <c r="B10" i="7"/>
  <c r="B9" i="7"/>
  <c r="C8" i="7"/>
  <c r="B8" i="7"/>
  <c r="B7" i="7"/>
  <c r="C6" i="7"/>
  <c r="B6" i="7"/>
  <c r="L50" i="6"/>
  <c r="K50" i="6"/>
  <c r="J50" i="6"/>
  <c r="I50" i="6"/>
  <c r="I49" i="6"/>
  <c r="I48" i="6"/>
  <c r="L46" i="6"/>
  <c r="K46" i="6"/>
  <c r="J46" i="6"/>
  <c r="I46" i="6"/>
  <c r="K45" i="6"/>
  <c r="J45" i="6"/>
  <c r="I45" i="6"/>
  <c r="K44" i="6"/>
  <c r="K47" i="6" s="1"/>
  <c r="J44" i="6"/>
  <c r="J47" i="6" s="1"/>
  <c r="I44" i="6"/>
  <c r="L43" i="6"/>
  <c r="K43" i="6"/>
  <c r="J43" i="6"/>
  <c r="I43" i="6"/>
  <c r="I42" i="6"/>
  <c r="I41" i="6"/>
  <c r="I40" i="6"/>
  <c r="K39" i="6"/>
  <c r="I38" i="6"/>
  <c r="L37" i="6"/>
  <c r="K37" i="6"/>
  <c r="J37" i="6"/>
  <c r="I37" i="6"/>
  <c r="I36" i="6"/>
  <c r="I35" i="6"/>
  <c r="I34" i="6"/>
  <c r="L33" i="6"/>
  <c r="L35" i="6" s="1"/>
  <c r="K33" i="6"/>
  <c r="K35" i="6" s="1"/>
  <c r="J33" i="6"/>
  <c r="J35" i="6" s="1"/>
  <c r="I33" i="6"/>
  <c r="L32" i="6"/>
  <c r="L34" i="6" s="1"/>
  <c r="K32" i="6"/>
  <c r="K34" i="6" s="1"/>
  <c r="J32" i="6"/>
  <c r="J34" i="6" s="1"/>
  <c r="I31" i="6"/>
  <c r="I30" i="6"/>
  <c r="L29" i="6"/>
  <c r="K29" i="6"/>
  <c r="J29" i="6"/>
  <c r="I29" i="6"/>
  <c r="B29" i="6"/>
  <c r="I32" i="6" s="1"/>
  <c r="I28" i="6"/>
  <c r="J27" i="6"/>
  <c r="I27" i="6"/>
  <c r="E27" i="6"/>
  <c r="D27" i="6"/>
  <c r="C27" i="6"/>
  <c r="B27" i="6"/>
  <c r="I26" i="6"/>
  <c r="B27" i="7" s="1"/>
  <c r="B26" i="6"/>
  <c r="B25" i="6"/>
  <c r="B23" i="6"/>
  <c r="B22" i="6"/>
  <c r="B20" i="6"/>
  <c r="L19" i="6"/>
  <c r="I19" i="6"/>
  <c r="B19" i="6"/>
  <c r="L18" i="6"/>
  <c r="L45" i="6" s="1"/>
  <c r="I18" i="6"/>
  <c r="B17" i="6"/>
  <c r="I16" i="6"/>
  <c r="B16" i="6"/>
  <c r="L15" i="6"/>
  <c r="I15" i="6"/>
  <c r="L14" i="6"/>
  <c r="I14" i="6"/>
  <c r="E14" i="6"/>
  <c r="H9" i="7" s="1"/>
  <c r="D14" i="6"/>
  <c r="F9" i="7" s="1"/>
  <c r="C14" i="6"/>
  <c r="D9" i="7" s="1"/>
  <c r="B14" i="6"/>
  <c r="I13" i="6"/>
  <c r="I12" i="6"/>
  <c r="L11" i="6"/>
  <c r="J11" i="6"/>
  <c r="J20" i="6" s="1"/>
  <c r="J48" i="6" s="1"/>
  <c r="L10" i="6"/>
  <c r="L39" i="6" s="1"/>
  <c r="J10" i="6"/>
  <c r="J39" i="6" s="1"/>
  <c r="J9" i="6"/>
  <c r="J38" i="6" s="1"/>
  <c r="J8" i="6"/>
  <c r="J49" i="6" s="1"/>
  <c r="L7" i="6"/>
  <c r="L20" i="6" s="1"/>
  <c r="L48" i="6" s="1"/>
  <c r="K7" i="6"/>
  <c r="K20" i="6" s="1"/>
  <c r="K48" i="6" s="1"/>
  <c r="J7" i="6"/>
  <c r="I7" i="6"/>
  <c r="E7" i="6"/>
  <c r="D7" i="6"/>
  <c r="C7" i="6"/>
  <c r="B7" i="6"/>
  <c r="L6" i="6"/>
  <c r="L8" i="6" s="1"/>
  <c r="J6" i="6"/>
  <c r="I6" i="6"/>
  <c r="F48" i="5"/>
  <c r="E48" i="5"/>
  <c r="E47" i="5"/>
  <c r="M44" i="5"/>
  <c r="L44" i="5"/>
  <c r="K44" i="5"/>
  <c r="F39" i="5"/>
  <c r="F41" i="5" s="1"/>
  <c r="E39" i="5"/>
  <c r="E41" i="5" s="1"/>
  <c r="D39" i="5"/>
  <c r="D41" i="5" s="1"/>
  <c r="C39" i="5"/>
  <c r="C41" i="5" s="1"/>
  <c r="M35" i="5"/>
  <c r="L35" i="5"/>
  <c r="K35" i="5"/>
  <c r="F35" i="5"/>
  <c r="F36" i="5" s="1"/>
  <c r="E35" i="5"/>
  <c r="D35" i="5"/>
  <c r="D36" i="5" s="1"/>
  <c r="C35" i="5"/>
  <c r="C36" i="5" s="1"/>
  <c r="F26" i="5"/>
  <c r="F25" i="5"/>
  <c r="E25" i="5"/>
  <c r="D25" i="5"/>
  <c r="L10" i="5"/>
  <c r="K10" i="5"/>
  <c r="J10" i="5"/>
  <c r="J65" i="5" s="1"/>
  <c r="B49" i="7" s="1"/>
  <c r="F7" i="5"/>
  <c r="M67" i="5" s="1"/>
  <c r="M68" i="5" s="1"/>
  <c r="E7" i="5"/>
  <c r="L67" i="5" s="1"/>
  <c r="L68" i="5" s="1"/>
  <c r="D7" i="5"/>
  <c r="K67" i="5" s="1"/>
  <c r="K68" i="5" s="1"/>
  <c r="C46" i="7" s="1"/>
  <c r="C7" i="5"/>
  <c r="J67" i="5" s="1"/>
  <c r="J68" i="5" s="1"/>
  <c r="B46" i="7" s="1"/>
  <c r="M6" i="5"/>
  <c r="M58" i="5" s="1"/>
  <c r="M60" i="5" s="1"/>
  <c r="F5" i="5"/>
  <c r="E5" i="5"/>
  <c r="D5" i="5"/>
  <c r="Q78" i="4"/>
  <c r="T77" i="4"/>
  <c r="R75" i="4"/>
  <c r="Q75" i="4"/>
  <c r="P75" i="4"/>
  <c r="O75" i="4"/>
  <c r="N75" i="4"/>
  <c r="R74" i="4"/>
  <c r="Q74" i="4"/>
  <c r="P74" i="4"/>
  <c r="O74" i="4"/>
  <c r="N74" i="4"/>
  <c r="T73" i="4"/>
  <c r="S73" i="4"/>
  <c r="R73" i="4"/>
  <c r="Q73" i="4"/>
  <c r="P73" i="4"/>
  <c r="O73" i="4"/>
  <c r="O76" i="4" s="1"/>
  <c r="N73" i="4"/>
  <c r="T72" i="4"/>
  <c r="S72" i="4"/>
  <c r="R72" i="4"/>
  <c r="Q72" i="4"/>
  <c r="P72" i="4"/>
  <c r="O72" i="4"/>
  <c r="N72" i="4"/>
  <c r="M72" i="4"/>
  <c r="T65" i="4"/>
  <c r="P65" i="4"/>
  <c r="S63" i="4"/>
  <c r="S66" i="4" s="1"/>
  <c r="J63" i="4"/>
  <c r="T62" i="4"/>
  <c r="S62" i="4"/>
  <c r="S65" i="4" s="1"/>
  <c r="R62" i="4"/>
  <c r="R65" i="4" s="1"/>
  <c r="Q62" i="4"/>
  <c r="Q65" i="4" s="1"/>
  <c r="P62" i="4"/>
  <c r="O62" i="4"/>
  <c r="O65" i="4" s="1"/>
  <c r="N62" i="4"/>
  <c r="N65" i="4" s="1"/>
  <c r="M62" i="4"/>
  <c r="M65" i="4" s="1"/>
  <c r="J62" i="4"/>
  <c r="I62" i="4"/>
  <c r="I63" i="4" s="1"/>
  <c r="H62" i="4"/>
  <c r="G62" i="4"/>
  <c r="D62" i="4"/>
  <c r="C62" i="4"/>
  <c r="B62" i="4"/>
  <c r="J60" i="4"/>
  <c r="H60" i="4"/>
  <c r="H63" i="4" s="1"/>
  <c r="G60" i="4"/>
  <c r="D60" i="4"/>
  <c r="C60" i="4"/>
  <c r="B60" i="4"/>
  <c r="J54" i="4"/>
  <c r="I54" i="4"/>
  <c r="H54" i="4"/>
  <c r="G54" i="4"/>
  <c r="D54" i="4"/>
  <c r="C54" i="4"/>
  <c r="J53" i="4"/>
  <c r="J55" i="4" s="1"/>
  <c r="H53" i="4"/>
  <c r="G53" i="4"/>
  <c r="G55" i="4" s="1"/>
  <c r="J52" i="4"/>
  <c r="B52" i="4"/>
  <c r="I51" i="4"/>
  <c r="H51" i="4"/>
  <c r="G51" i="4"/>
  <c r="I50" i="4"/>
  <c r="H50" i="4"/>
  <c r="G50" i="4"/>
  <c r="D50" i="4"/>
  <c r="C50" i="4"/>
  <c r="B50" i="4"/>
  <c r="J49" i="4"/>
  <c r="D49" i="4"/>
  <c r="C49" i="4"/>
  <c r="B49" i="4"/>
  <c r="J44" i="4"/>
  <c r="H44" i="4"/>
  <c r="G44" i="4"/>
  <c r="I43" i="4"/>
  <c r="D43" i="4"/>
  <c r="D44" i="4" s="1"/>
  <c r="C43" i="4"/>
  <c r="C44" i="4" s="1"/>
  <c r="B43" i="4"/>
  <c r="B44" i="4" s="1"/>
  <c r="I42" i="4"/>
  <c r="T41" i="4"/>
  <c r="S41" i="4"/>
  <c r="R41" i="4"/>
  <c r="Q41" i="4"/>
  <c r="P41" i="4"/>
  <c r="P56" i="4" s="1"/>
  <c r="O41" i="4"/>
  <c r="N41" i="4"/>
  <c r="M41" i="4"/>
  <c r="I41" i="4"/>
  <c r="I40" i="4"/>
  <c r="I53" i="4" s="1"/>
  <c r="I39" i="4"/>
  <c r="I44" i="4" s="1"/>
  <c r="J34" i="4"/>
  <c r="I34" i="4"/>
  <c r="H34" i="4"/>
  <c r="J33" i="4"/>
  <c r="I33" i="4"/>
  <c r="H33" i="4"/>
  <c r="G33" i="4"/>
  <c r="F33" i="4"/>
  <c r="E33" i="4"/>
  <c r="D33" i="4"/>
  <c r="C33" i="4"/>
  <c r="T29" i="4"/>
  <c r="T49" i="4" s="1"/>
  <c r="S29" i="4"/>
  <c r="S49" i="4" s="1"/>
  <c r="R29" i="4"/>
  <c r="R49" i="4" s="1"/>
  <c r="S77" i="4" s="1"/>
  <c r="Q29" i="4"/>
  <c r="P29" i="4"/>
  <c r="O29" i="4"/>
  <c r="N29" i="4"/>
  <c r="N55" i="4" s="1"/>
  <c r="M29" i="4"/>
  <c r="M55" i="4" s="1"/>
  <c r="E29" i="4"/>
  <c r="E25" i="4"/>
  <c r="D22" i="4"/>
  <c r="C22" i="4"/>
  <c r="C52" i="4" s="1"/>
  <c r="H21" i="4"/>
  <c r="F16" i="4"/>
  <c r="B16" i="4"/>
  <c r="T15" i="4"/>
  <c r="S15" i="4"/>
  <c r="R15" i="4"/>
  <c r="Q15" i="4"/>
  <c r="Q55" i="4" s="1"/>
  <c r="P15" i="4"/>
  <c r="O15" i="4"/>
  <c r="I13" i="4"/>
  <c r="I14" i="4" s="1"/>
  <c r="H13" i="4"/>
  <c r="S11" i="4"/>
  <c r="R11" i="4"/>
  <c r="T10" i="4"/>
  <c r="S10" i="4"/>
  <c r="S71" i="4" s="1"/>
  <c r="R10" i="4"/>
  <c r="Q10" i="4"/>
  <c r="G61" i="4" s="1"/>
  <c r="P10" i="4"/>
  <c r="P78" i="4" s="1"/>
  <c r="O10" i="4"/>
  <c r="N10" i="4"/>
  <c r="M10" i="4"/>
  <c r="M71" i="4" s="1"/>
  <c r="J7" i="4"/>
  <c r="I7" i="4"/>
  <c r="T75" i="4" s="1"/>
  <c r="H7" i="4"/>
  <c r="S74" i="4" s="1"/>
  <c r="G7" i="4"/>
  <c r="G13" i="4" s="1"/>
  <c r="F7" i="4"/>
  <c r="F13" i="4" s="1"/>
  <c r="E7" i="4"/>
  <c r="E13" i="4" s="1"/>
  <c r="D7" i="4"/>
  <c r="D13" i="4" s="1"/>
  <c r="E14" i="4" s="1"/>
  <c r="C7" i="4"/>
  <c r="C13" i="4" s="1"/>
  <c r="B7" i="4"/>
  <c r="B13" i="4" s="1"/>
  <c r="B21" i="4" s="1"/>
  <c r="T6" i="4"/>
  <c r="T11" i="4" s="1"/>
  <c r="S6" i="4"/>
  <c r="R6" i="4"/>
  <c r="R63" i="4" s="1"/>
  <c r="R66" i="4" s="1"/>
  <c r="Q6" i="4"/>
  <c r="P6" i="4"/>
  <c r="P11" i="4" s="1"/>
  <c r="O6" i="4"/>
  <c r="O56" i="4" s="1"/>
  <c r="N6" i="4"/>
  <c r="N63" i="4" s="1"/>
  <c r="N66" i="4" s="1"/>
  <c r="M6" i="4"/>
  <c r="J6" i="4"/>
  <c r="I6" i="4"/>
  <c r="H6" i="4"/>
  <c r="J5" i="4"/>
  <c r="I5" i="4"/>
  <c r="H5" i="4"/>
  <c r="G5" i="4"/>
  <c r="F5" i="4"/>
  <c r="E5" i="4"/>
  <c r="D5" i="4"/>
  <c r="C5" i="4"/>
  <c r="K43" i="5" l="1"/>
  <c r="K50" i="5"/>
  <c r="R79" i="4"/>
  <c r="G16" i="4"/>
  <c r="G14" i="4"/>
  <c r="T63" i="4"/>
  <c r="T66" i="4" s="1"/>
  <c r="P76" i="4"/>
  <c r="K8" i="6"/>
  <c r="K49" i="6" s="1"/>
  <c r="N11" i="4"/>
  <c r="N12" i="4"/>
  <c r="P55" i="4"/>
  <c r="P12" i="4" s="1"/>
  <c r="O55" i="4"/>
  <c r="O12" i="4" s="1"/>
  <c r="Q56" i="4"/>
  <c r="K9" i="6"/>
  <c r="K38" i="6" s="1"/>
  <c r="P49" i="4"/>
  <c r="Q77" i="4" s="1"/>
  <c r="P68" i="4"/>
  <c r="S56" i="4"/>
  <c r="I55" i="4"/>
  <c r="S70" i="4"/>
  <c r="B61" i="4"/>
  <c r="T56" i="4"/>
  <c r="T55" i="4"/>
  <c r="T12" i="4" s="1"/>
  <c r="M56" i="4"/>
  <c r="P63" i="4"/>
  <c r="P66" i="4" s="1"/>
  <c r="L44" i="6"/>
  <c r="L47" i="6" s="1"/>
  <c r="I47" i="6"/>
  <c r="D52" i="4"/>
  <c r="C21" i="4"/>
  <c r="C16" i="4"/>
  <c r="C14" i="4"/>
  <c r="B48" i="4"/>
  <c r="B53" i="4" s="1"/>
  <c r="B55" i="4" s="1"/>
  <c r="B23" i="4"/>
  <c r="P79" i="4"/>
  <c r="P69" i="4"/>
  <c r="P67" i="4"/>
  <c r="E16" i="4"/>
  <c r="E21" i="4"/>
  <c r="E23" i="4" s="1"/>
  <c r="H24" i="4"/>
  <c r="H23" i="4"/>
  <c r="B24" i="4"/>
  <c r="D16" i="4"/>
  <c r="O79" i="4"/>
  <c r="D14" i="4"/>
  <c r="D21" i="4"/>
  <c r="H16" i="4"/>
  <c r="S79" i="4"/>
  <c r="H14" i="4"/>
  <c r="S69" i="4"/>
  <c r="S67" i="4"/>
  <c r="H15" i="4"/>
  <c r="N71" i="4"/>
  <c r="N70" i="4"/>
  <c r="N78" i="4"/>
  <c r="R71" i="4"/>
  <c r="R70" i="4"/>
  <c r="O11" i="4"/>
  <c r="O69" i="4" s="1"/>
  <c r="Q12" i="4"/>
  <c r="I21" i="4"/>
  <c r="N56" i="4"/>
  <c r="R56" i="4"/>
  <c r="Q49" i="4"/>
  <c r="R77" i="4" s="1"/>
  <c r="S55" i="4"/>
  <c r="S12" i="4" s="1"/>
  <c r="T70" i="4"/>
  <c r="T71" i="4"/>
  <c r="Q76" i="4"/>
  <c r="O78" i="4"/>
  <c r="D61" i="4"/>
  <c r="D63" i="4" s="1"/>
  <c r="O67" i="4" s="1"/>
  <c r="R55" i="4"/>
  <c r="R12" i="4" s="1"/>
  <c r="I16" i="4"/>
  <c r="M12" i="4"/>
  <c r="M49" i="4"/>
  <c r="G63" i="4"/>
  <c r="R67" i="4" s="1"/>
  <c r="C61" i="4"/>
  <c r="C63" i="4" s="1"/>
  <c r="N67" i="4" s="1"/>
  <c r="O63" i="4"/>
  <c r="O66" i="4" s="1"/>
  <c r="O70" i="4"/>
  <c r="O71" i="4"/>
  <c r="N76" i="4"/>
  <c r="R76" i="4"/>
  <c r="O49" i="4"/>
  <c r="I15" i="4"/>
  <c r="M63" i="4"/>
  <c r="M66" i="4" s="1"/>
  <c r="M11" i="4"/>
  <c r="M69" i="4" s="1"/>
  <c r="Q63" i="4"/>
  <c r="Q66" i="4" s="1"/>
  <c r="Q11" i="4"/>
  <c r="Q79" i="4"/>
  <c r="Q69" i="4"/>
  <c r="Q67" i="4"/>
  <c r="F14" i="4"/>
  <c r="T74" i="4"/>
  <c r="T76" i="4" s="1"/>
  <c r="J13" i="4"/>
  <c r="R69" i="4"/>
  <c r="G21" i="4"/>
  <c r="F21" i="4"/>
  <c r="N49" i="4"/>
  <c r="H55" i="4"/>
  <c r="B63" i="4"/>
  <c r="M67" i="4" s="1"/>
  <c r="P70" i="4"/>
  <c r="P71" i="4"/>
  <c r="S75" i="4"/>
  <c r="S76" i="4" s="1"/>
  <c r="L49" i="6"/>
  <c r="L41" i="6"/>
  <c r="L40" i="6"/>
  <c r="L28" i="6"/>
  <c r="L30" i="6" s="1"/>
  <c r="L36" i="6" s="1"/>
  <c r="J28" i="6"/>
  <c r="J30" i="6" s="1"/>
  <c r="J36" i="6" s="1"/>
  <c r="J40" i="6"/>
  <c r="J41" i="6"/>
  <c r="F21" i="7"/>
  <c r="F19" i="7" s="1"/>
  <c r="M70" i="4"/>
  <c r="Q70" i="4"/>
  <c r="Q71" i="4"/>
  <c r="E11" i="5"/>
  <c r="E18" i="5" s="1"/>
  <c r="E20" i="5" s="1"/>
  <c r="F49" i="5"/>
  <c r="L9" i="6"/>
  <c r="L38" i="6" s="1"/>
  <c r="M50" i="5"/>
  <c r="M12" i="5" s="1"/>
  <c r="K11" i="5"/>
  <c r="K65" i="5"/>
  <c r="C49" i="7" s="1"/>
  <c r="L11" i="5"/>
  <c r="L63" i="5" s="1"/>
  <c r="L65" i="5"/>
  <c r="J43" i="5"/>
  <c r="C11" i="5"/>
  <c r="C18" i="5" s="1"/>
  <c r="C21" i="5" s="1"/>
  <c r="L51" i="5"/>
  <c r="B13" i="7"/>
  <c r="M65" i="5"/>
  <c r="M51" i="5"/>
  <c r="M43" i="5"/>
  <c r="K51" i="5"/>
  <c r="I8" i="6"/>
  <c r="J11" i="5"/>
  <c r="J63" i="5" s="1"/>
  <c r="B41" i="7" s="1"/>
  <c r="C20" i="5"/>
  <c r="K69" i="5"/>
  <c r="C47" i="7" s="1"/>
  <c r="J69" i="5"/>
  <c r="B47" i="7" s="1"/>
  <c r="M11" i="5"/>
  <c r="F11" i="5"/>
  <c r="K12" i="5"/>
  <c r="I17" i="6"/>
  <c r="I20" i="6" s="1"/>
  <c r="C48" i="7"/>
  <c r="B18" i="7"/>
  <c r="B38" i="7" s="1"/>
  <c r="B45" i="7"/>
  <c r="B48" i="7"/>
  <c r="D11" i="5"/>
  <c r="E14" i="5"/>
  <c r="L43" i="5"/>
  <c r="C45" i="7"/>
  <c r="J51" i="5"/>
  <c r="L50" i="5"/>
  <c r="L12" i="5" s="1"/>
  <c r="J50" i="5"/>
  <c r="J12" i="5" s="1"/>
  <c r="K41" i="6" l="1"/>
  <c r="K40" i="6"/>
  <c r="E21" i="5"/>
  <c r="K28" i="6"/>
  <c r="K30" i="6" s="1"/>
  <c r="K36" i="6" s="1"/>
  <c r="O77" i="4"/>
  <c r="C51" i="4"/>
  <c r="M68" i="4"/>
  <c r="B29" i="4"/>
  <c r="B25" i="4"/>
  <c r="M69" i="5"/>
  <c r="M63" i="5"/>
  <c r="F24" i="4"/>
  <c r="F23" i="4"/>
  <c r="N69" i="4"/>
  <c r="C24" i="4"/>
  <c r="C23" i="4"/>
  <c r="C48" i="4"/>
  <c r="T79" i="4"/>
  <c r="J14" i="4"/>
  <c r="J16" i="4"/>
  <c r="J21" i="4"/>
  <c r="J15" i="4"/>
  <c r="T69" i="4"/>
  <c r="D24" i="4"/>
  <c r="D48" i="4"/>
  <c r="M61" i="5"/>
  <c r="G24" i="4"/>
  <c r="G23" i="4"/>
  <c r="I23" i="4"/>
  <c r="I24" i="4"/>
  <c r="T67" i="4"/>
  <c r="H29" i="4"/>
  <c r="S68" i="4"/>
  <c r="H25" i="4"/>
  <c r="D51" i="4"/>
  <c r="P77" i="4"/>
  <c r="N77" i="4"/>
  <c r="D23" i="4"/>
  <c r="I9" i="6"/>
  <c r="J62" i="5"/>
  <c r="B40" i="7" s="1"/>
  <c r="C22" i="5"/>
  <c r="C14" i="5"/>
  <c r="L69" i="5"/>
  <c r="K63" i="5"/>
  <c r="C41" i="7" s="1"/>
  <c r="D18" i="5"/>
  <c r="D14" i="5"/>
  <c r="E12" i="5"/>
  <c r="D12" i="5"/>
  <c r="F12" i="5"/>
  <c r="F18" i="5"/>
  <c r="F14" i="5"/>
  <c r="F13" i="5"/>
  <c r="L62" i="5" l="1"/>
  <c r="E22" i="5"/>
  <c r="C53" i="4"/>
  <c r="C55" i="4" s="1"/>
  <c r="Q68" i="4"/>
  <c r="F29" i="4"/>
  <c r="F30" i="4" s="1"/>
  <c r="F25" i="4"/>
  <c r="R68" i="4"/>
  <c r="G29" i="4"/>
  <c r="G30" i="4" s="1"/>
  <c r="G25" i="4"/>
  <c r="N68" i="4"/>
  <c r="C29" i="4"/>
  <c r="C30" i="4" s="1"/>
  <c r="C25" i="4"/>
  <c r="H26" i="4"/>
  <c r="D25" i="4"/>
  <c r="D29" i="4"/>
  <c r="O68" i="4"/>
  <c r="I25" i="4"/>
  <c r="I26" i="4"/>
  <c r="I29" i="4"/>
  <c r="D53" i="4"/>
  <c r="D55" i="4" s="1"/>
  <c r="J48" i="4"/>
  <c r="J23" i="4"/>
  <c r="J24" i="4"/>
  <c r="D21" i="5"/>
  <c r="D20" i="5"/>
  <c r="F21" i="5"/>
  <c r="M62" i="5" s="1"/>
  <c r="F20" i="5"/>
  <c r="H30" i="4" l="1"/>
  <c r="H31" i="4"/>
  <c r="I30" i="4"/>
  <c r="I31" i="4"/>
  <c r="J26" i="4"/>
  <c r="T68" i="4"/>
  <c r="J25" i="4"/>
  <c r="J29" i="4"/>
  <c r="D30" i="4"/>
  <c r="E30" i="4"/>
  <c r="K62" i="5"/>
  <c r="C40" i="7" s="1"/>
  <c r="D22" i="5"/>
  <c r="F22" i="5"/>
  <c r="F23" i="5"/>
  <c r="J30" i="4" l="1"/>
  <c r="J31" i="4"/>
  <c r="G20" i="5"/>
  <c r="G22" i="5"/>
</calcChain>
</file>

<file path=xl/sharedStrings.xml><?xml version="1.0" encoding="utf-8"?>
<sst xmlns="http://schemas.openxmlformats.org/spreadsheetml/2006/main" count="548" uniqueCount="227">
  <si>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</si>
  <si>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</si>
  <si>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</si>
  <si>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</si>
  <si>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</si>
  <si>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</si>
  <si>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</si>
  <si>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</si>
  <si>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</si>
  <si>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</si>
  <si>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</si>
  <si>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</si>
  <si>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</si>
  <si>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</si>
  <si>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</si>
  <si>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</si>
  <si>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</si>
  <si>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</si>
  <si>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</si>
  <si>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</si>
  <si>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</si>
  <si>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</si>
  <si>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</si>
  <si>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</si>
  <si>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</si>
  <si>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</si>
  <si>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</si>
  <si>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</si>
  <si>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</si>
  <si>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</si>
  <si>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</si>
  <si>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</si>
  <si>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</si>
  <si>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</si>
  <si>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</si>
  <si>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</si>
  <si>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</si>
  <si>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</si>
  <si>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</si>
  <si>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</si>
  <si>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</si>
  <si>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</si>
  <si>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</si>
  <si>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</si>
  <si>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</si>
  <si>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</si>
  <si>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</si>
  <si>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</si>
  <si>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</si>
  <si>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</si>
  <si>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</si>
  <si>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</si>
  <si>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</si>
  <si>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</si>
  <si>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</si>
  <si>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</si>
  <si>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</si>
  <si>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</si>
  <si>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</si>
  <si>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</si>
  <si>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</si>
  <si>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</si>
  <si>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</si>
  <si>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</si>
  <si>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</si>
  <si>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</si>
  <si>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</si>
  <si>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</si>
  <si>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</si>
  <si>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</si>
  <si>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</si>
  <si>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</si>
  <si>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</si>
  <si>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</si>
  <si>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</si>
  <si>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</si>
  <si>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</si>
  <si>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</si>
  <si>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</si>
  <si>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</si>
  <si>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</si>
  <si>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</si>
  <si>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</si>
  <si>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</si>
  <si>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</si>
  <si>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</si>
  <si>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</si>
  <si>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</si>
  <si>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</si>
  <si>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</si>
  <si>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</si>
  <si>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</si>
  <si>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</si>
  <si>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</si>
  <si>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</si>
  <si>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</si>
  <si>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</si>
  <si>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</si>
  <si>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</si>
  <si>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</si>
  <si>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</si>
  <si>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</si>
  <si>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</si>
  <si>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</si>
  <si>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</si>
  <si>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</si>
  <si>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</si>
  <si>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</si>
  <si>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</si>
  <si>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</si>
  <si>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</si>
  <si>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</si>
  <si>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</si>
  <si>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</si>
  <si>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</si>
  <si>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</si>
  <si>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</si>
  <si>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</si>
  <si>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</si>
  <si>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</si>
  <si>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</si>
  <si>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</si>
  <si>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</si>
  <si>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</si>
  <si>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</si>
  <si>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</si>
  <si>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</si>
  <si>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</si>
  <si>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</si>
  <si>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</si>
  <si>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</si>
  <si>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</si>
  <si>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</si>
  <si>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</si>
  <si>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</si>
  <si>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</si>
  <si>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</si>
  <si>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</si>
  <si>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</si>
  <si>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</si>
  <si>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</si>
  <si>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</si>
  <si>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</si>
  <si>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</si>
  <si>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</si>
  <si>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</si>
  <si>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</si>
  <si>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</si>
  <si>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</si>
  <si>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</si>
  <si>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</si>
  <si>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</si>
  <si>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</si>
  <si>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</si>
  <si>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</si>
  <si>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</si>
  <si>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</si>
  <si>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</si>
  <si>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</si>
  <si>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</si>
  <si>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(ii) Trade Receivable</t>
  </si>
  <si>
    <t>Other non-current liabilities</t>
  </si>
  <si>
    <t>FY20</t>
  </si>
  <si>
    <t>Rs in Millions</t>
  </si>
  <si>
    <t>Q1FY21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</si>
  <si>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</si>
  <si>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</si>
  <si>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</si>
  <si>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</si>
  <si>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</si>
  <si>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</si>
  <si>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</si>
  <si>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</si>
  <si>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</si>
  <si>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</si>
  <si>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</si>
  <si>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</si>
  <si>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</si>
  <si>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</si>
  <si>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</si>
  <si>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</si>
  <si>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</si>
  <si>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</si>
  <si>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</si>
  <si>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</si>
  <si>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</si>
  <si>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</si>
  <si>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</si>
  <si>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</si>
  <si>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</si>
  <si>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</si>
  <si>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</si>
  <si>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</si>
  <si>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</si>
  <si>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</si>
  <si>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</si>
  <si>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</si>
  <si>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</si>
  <si>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</si>
  <si>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</si>
  <si>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</si>
  <si>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</si>
  <si>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</si>
  <si>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</si>
  <si>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</si>
  <si>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</si>
  <si>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</si>
  <si>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</si>
  <si>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</si>
  <si>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</si>
  <si>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H1-FY21</t>
  </si>
  <si>
    <t>FY21</t>
  </si>
  <si>
    <t>FY21
Consol</t>
  </si>
  <si>
    <t>H1-FY22</t>
  </si>
  <si>
    <t>CMP (As on 30.03.2021)</t>
  </si>
  <si>
    <t>NA</t>
  </si>
  <si>
    <t>FY22</t>
  </si>
  <si>
    <t>FY23</t>
  </si>
  <si>
    <t>FY24</t>
  </si>
  <si>
    <t>Infollion Research Service Limited</t>
  </si>
  <si>
    <t>cost of sales</t>
  </si>
  <si>
    <t>NON CURRENT LIABILITIES</t>
  </si>
  <si>
    <t xml:space="preserve">Operating Cash Flow </t>
  </si>
  <si>
    <t>Intangible Assets</t>
  </si>
  <si>
    <t>H1-FY25</t>
  </si>
  <si>
    <t>TTM EPS</t>
  </si>
  <si>
    <t>H1-FY24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</si>
</sst>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color theme="1" tint="4.9989318521683403E-2"/>
      <name val="Calibri"/>
      <family val="2"/>
    </font>
    <font>
      <b/>
      <i/>
      <sz val="12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2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3" fillId="0" borderId="0" xfId="0" applyFont="1"/>
    <xf numFmtId="170" fontId="27" fillId="0" borderId="1" xfId="2" applyNumberFormat="1" applyFont="1" applyFill="1" applyBorder="1"/>
    <xf numFmtId="0" fontId="27" fillId="0" borderId="1" xfId="0" applyFont="1" applyBorder="1"/>
    <xf numFmtId="0" fontId="26" fillId="12" borderId="0" xfId="0" applyFont="1" applyFill="1"/>
    <xf numFmtId="10" fontId="23" fillId="12" borderId="0" xfId="1" applyNumberFormat="1" applyFont="1" applyFill="1"/>
    <xf numFmtId="0" fontId="23" fillId="12" borderId="0" xfId="0" applyFont="1" applyFill="1"/>
    <xf numFmtId="177" fontId="23" fillId="12" borderId="0" xfId="0" applyNumberFormat="1" applyFont="1" applyFill="1"/>
    <xf numFmtId="170" fontId="27" fillId="0" borderId="1" xfId="2" applyNumberFormat="1" applyFont="1" applyFill="1" applyBorder="1" applyAlignment="1">
      <alignment horizontal="center" vertical="center"/>
    </xf>
    <xf numFmtId="165" fontId="27" fillId="0" borderId="1" xfId="3" applyNumberFormat="1" applyFont="1" applyFill="1" applyBorder="1"/>
    <xf numFmtId="0" fontId="23" fillId="0" borderId="0" xfId="0" applyFont="1" applyAlignment="1">
      <alignment horizontal="center"/>
    </xf>
    <xf numFmtId="0" fontId="26" fillId="0" borderId="6" xfId="0" applyFont="1" applyBorder="1"/>
    <xf numFmtId="0" fontId="23" fillId="0" borderId="6" xfId="0" applyFont="1" applyBorder="1"/>
    <xf numFmtId="0" fontId="26" fillId="0" borderId="0" xfId="0" applyFont="1" applyAlignment="1">
      <alignment horizontal="center"/>
    </xf>
    <xf numFmtId="165" fontId="25" fillId="0" borderId="1" xfId="3" applyNumberFormat="1" applyFont="1" applyFill="1" applyBorder="1"/>
    <xf numFmtId="0" fontId="25" fillId="0" borderId="1" xfId="0" applyFont="1" applyBorder="1"/>
    <xf numFmtId="2" fontId="25" fillId="0" borderId="1" xfId="0" applyNumberFormat="1" applyFont="1" applyBorder="1"/>
    <xf numFmtId="2" fontId="27" fillId="0" borderId="1" xfId="0" applyNumberFormat="1" applyFont="1" applyBorder="1"/>
    <xf numFmtId="0" fontId="26" fillId="14" borderId="6" xfId="0" applyFont="1" applyFill="1" applyBorder="1"/>
    <xf numFmtId="0" fontId="26" fillId="14" borderId="1" xfId="0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/>
    </xf>
    <xf numFmtId="170" fontId="25" fillId="14" borderId="6" xfId="2" applyNumberFormat="1" applyFont="1" applyFill="1" applyBorder="1"/>
    <xf numFmtId="170" fontId="25" fillId="14" borderId="1" xfId="2" applyNumberFormat="1" applyFont="1" applyFill="1" applyBorder="1"/>
    <xf numFmtId="10" fontId="26" fillId="14" borderId="6" xfId="0" applyNumberFormat="1" applyFont="1" applyFill="1" applyBorder="1"/>
    <xf numFmtId="0" fontId="23" fillId="0" borderId="8" xfId="0" applyFont="1" applyBorder="1"/>
    <xf numFmtId="0" fontId="26" fillId="14" borderId="7" xfId="0" applyFont="1" applyFill="1" applyBorder="1" applyAlignment="1">
      <alignment horizontal="center"/>
    </xf>
    <xf numFmtId="170" fontId="26" fillId="14" borderId="6" xfId="2" applyNumberFormat="1" applyFont="1" applyFill="1" applyBorder="1"/>
    <xf numFmtId="170" fontId="26" fillId="14" borderId="8" xfId="2" applyNumberFormat="1" applyFont="1" applyFill="1" applyBorder="1"/>
    <xf numFmtId="170" fontId="25" fillId="14" borderId="8" xfId="2" applyNumberFormat="1" applyFont="1" applyFill="1" applyBorder="1"/>
    <xf numFmtId="0" fontId="26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6" fillId="0" borderId="0" xfId="0" applyFont="1"/>
    <xf numFmtId="0" fontId="26" fillId="14" borderId="6" xfId="0" applyFont="1" applyFill="1" applyBorder="1" applyAlignment="1">
      <alignment horizontal="center"/>
    </xf>
    <xf numFmtId="166" fontId="26" fillId="0" borderId="6" xfId="0" applyNumberFormat="1" applyFont="1" applyBorder="1"/>
    <xf numFmtId="0" fontId="26" fillId="14" borderId="3" xfId="0" applyFont="1" applyFill="1" applyBorder="1"/>
    <xf numFmtId="0" fontId="26" fillId="14" borderId="4" xfId="0" applyFont="1" applyFill="1" applyBorder="1" applyAlignment="1">
      <alignment horizontal="center"/>
    </xf>
    <xf numFmtId="0" fontId="26" fillId="0" borderId="8" xfId="0" applyFont="1" applyBorder="1"/>
    <xf numFmtId="170" fontId="23" fillId="0" borderId="1" xfId="2" applyNumberFormat="1" applyFont="1" applyFill="1" applyBorder="1" applyAlignment="1">
      <alignment horizontal="right"/>
    </xf>
    <xf numFmtId="166" fontId="26" fillId="14" borderId="6" xfId="0" applyNumberFormat="1" applyFont="1" applyFill="1" applyBorder="1"/>
    <xf numFmtId="170" fontId="23" fillId="14" borderId="1" xfId="2" applyNumberFormat="1" applyFont="1" applyFill="1" applyBorder="1" applyAlignment="1">
      <alignment horizontal="right"/>
    </xf>
    <xf numFmtId="166" fontId="23" fillId="14" borderId="6" xfId="0" applyNumberFormat="1" applyFont="1" applyFill="1" applyBorder="1"/>
    <xf numFmtId="167" fontId="23" fillId="14" borderId="6" xfId="0" applyNumberFormat="1" applyFont="1" applyFill="1" applyBorder="1"/>
    <xf numFmtId="10" fontId="23" fillId="14" borderId="1" xfId="0" applyNumberFormat="1" applyFont="1" applyFill="1" applyBorder="1"/>
    <xf numFmtId="172" fontId="23" fillId="14" borderId="1" xfId="2" applyNumberFormat="1" applyFont="1" applyFill="1" applyBorder="1"/>
    <xf numFmtId="4" fontId="23" fillId="14" borderId="1" xfId="2" applyNumberFormat="1" applyFont="1" applyFill="1" applyBorder="1"/>
    <xf numFmtId="169" fontId="23" fillId="14" borderId="1" xfId="2" applyNumberFormat="1" applyFont="1" applyFill="1" applyBorder="1"/>
    <xf numFmtId="0" fontId="27" fillId="14" borderId="8" xfId="0" applyFont="1" applyFill="1" applyBorder="1"/>
    <xf numFmtId="10" fontId="28" fillId="0" borderId="6" xfId="0" applyNumberFormat="1" applyFont="1" applyBorder="1"/>
    <xf numFmtId="10" fontId="28" fillId="0" borderId="1" xfId="0" applyNumberFormat="1" applyFont="1" applyBorder="1"/>
    <xf numFmtId="0" fontId="28" fillId="0" borderId="6" xfId="0" applyFont="1" applyBorder="1"/>
    <xf numFmtId="10" fontId="26" fillId="0" borderId="6" xfId="0" applyNumberFormat="1" applyFont="1" applyBorder="1"/>
    <xf numFmtId="10" fontId="26" fillId="0" borderId="1" xfId="0" applyNumberFormat="1" applyFont="1" applyBorder="1"/>
    <xf numFmtId="2" fontId="26" fillId="0" borderId="1" xfId="0" applyNumberFormat="1" applyFont="1" applyBorder="1"/>
    <xf numFmtId="170" fontId="25" fillId="0" borderId="1" xfId="2" applyNumberFormat="1" applyFont="1" applyFill="1" applyBorder="1"/>
    <xf numFmtId="170" fontId="25" fillId="0" borderId="6" xfId="2" applyNumberFormat="1" applyFont="1" applyFill="1" applyBorder="1"/>
    <xf numFmtId="10" fontId="26" fillId="0" borderId="1" xfId="1" applyNumberFormat="1" applyFont="1" applyFill="1" applyBorder="1"/>
    <xf numFmtId="10" fontId="23" fillId="0" borderId="6" xfId="0" applyNumberFormat="1" applyFont="1" applyBorder="1"/>
    <xf numFmtId="170" fontId="26" fillId="0" borderId="1" xfId="2" applyNumberFormat="1" applyFont="1" applyFill="1" applyBorder="1"/>
    <xf numFmtId="170" fontId="23" fillId="0" borderId="1" xfId="2" applyNumberFormat="1" applyFont="1" applyFill="1" applyBorder="1"/>
    <xf numFmtId="170" fontId="26" fillId="0" borderId="9" xfId="2" applyNumberFormat="1" applyFont="1" applyFill="1" applyBorder="1"/>
    <xf numFmtId="10" fontId="28" fillId="0" borderId="1" xfId="0" applyNumberFormat="1" applyFont="1" applyBorder="1" applyAlignment="1">
      <alignment horizontal="right"/>
    </xf>
    <xf numFmtId="10" fontId="23" fillId="0" borderId="1" xfId="0" applyNumberFormat="1" applyFont="1" applyBorder="1" applyAlignment="1">
      <alignment horizontal="right"/>
    </xf>
    <xf numFmtId="10" fontId="23" fillId="0" borderId="9" xfId="0" applyNumberFormat="1" applyFont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5" fillId="14" borderId="20" xfId="0" applyFont="1" applyFill="1" applyBorder="1" applyAlignment="1">
      <alignment horizontal="center"/>
    </xf>
    <xf numFmtId="0" fontId="26" fillId="14" borderId="11" xfId="0" applyFont="1" applyFill="1" applyBorder="1"/>
    <xf numFmtId="0" fontId="26" fillId="14" borderId="2" xfId="0" applyFont="1" applyFill="1" applyBorder="1" applyAlignment="1">
      <alignment horizontal="center"/>
    </xf>
    <xf numFmtId="0" fontId="26" fillId="14" borderId="36" xfId="0" applyFont="1" applyFill="1" applyBorder="1" applyAlignment="1">
      <alignment horizontal="center"/>
    </xf>
    <xf numFmtId="0" fontId="26" fillId="14" borderId="18" xfId="0" applyFont="1" applyFill="1" applyBorder="1" applyAlignment="1">
      <alignment horizontal="center"/>
    </xf>
    <xf numFmtId="169" fontId="23" fillId="0" borderId="1" xfId="2" applyNumberFormat="1" applyFont="1" applyFill="1" applyBorder="1" applyAlignment="1">
      <alignment horizontal="right"/>
    </xf>
    <xf numFmtId="169" fontId="29" fillId="0" borderId="1" xfId="2" applyNumberFormat="1" applyFont="1" applyFill="1" applyBorder="1" applyAlignment="1">
      <alignment horizontal="right"/>
    </xf>
    <xf numFmtId="3" fontId="29" fillId="0" borderId="1" xfId="2" applyNumberFormat="1" applyFont="1" applyFill="1" applyBorder="1" applyAlignment="1">
      <alignment horizontal="right"/>
    </xf>
    <xf numFmtId="170" fontId="30" fillId="0" borderId="1" xfId="2" applyNumberFormat="1" applyFont="1" applyFill="1" applyBorder="1" applyAlignment="1">
      <alignment horizontal="right"/>
    </xf>
    <xf numFmtId="170" fontId="29" fillId="0" borderId="1" xfId="2" applyNumberFormat="1" applyFont="1" applyFill="1" applyBorder="1"/>
    <xf numFmtId="0" fontId="25" fillId="14" borderId="4" xfId="0" applyFont="1" applyFill="1" applyBorder="1" applyAlignment="1">
      <alignment horizontal="center"/>
    </xf>
    <xf numFmtId="0" fontId="25" fillId="14" borderId="5" xfId="0" applyFont="1" applyFill="1" applyBorder="1" applyAlignment="1">
      <alignment horizontal="center"/>
    </xf>
    <xf numFmtId="170" fontId="30" fillId="0" borderId="9" xfId="2" applyNumberFormat="1" applyFont="1" applyFill="1" applyBorder="1" applyAlignment="1">
      <alignment horizontal="right"/>
    </xf>
    <xf numFmtId="169" fontId="29" fillId="0" borderId="9" xfId="2" applyNumberFormat="1" applyFont="1" applyFill="1" applyBorder="1" applyAlignment="1">
      <alignment horizontal="right"/>
    </xf>
    <xf numFmtId="4" fontId="0" fillId="0" borderId="1" xfId="0" applyNumberFormat="1" applyBorder="1"/>
    <xf numFmtId="165" fontId="27" fillId="14" borderId="1" xfId="3" applyNumberFormat="1" applyFont="1" applyFill="1" applyBorder="1"/>
    <xf numFmtId="170" fontId="23" fillId="14" borderId="1" xfId="2" applyNumberFormat="1" applyFont="1" applyFill="1" applyBorder="1"/>
    <xf numFmtId="170" fontId="26" fillId="14" borderId="1" xfId="2" applyNumberFormat="1" applyFont="1" applyFill="1" applyBorder="1"/>
    <xf numFmtId="170" fontId="26" fillId="14" borderId="9" xfId="2" applyNumberFormat="1" applyFont="1" applyFill="1" applyBorder="1"/>
    <xf numFmtId="2" fontId="23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26" fillId="13" borderId="19" xfId="0" applyFont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24" fillId="0" borderId="3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4" fillId="0" borderId="5" xfId="0" applyFont="1" applyBorder="1" applyAlignment="1">
      <alignment horizontal="center" wrapText="1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169" fontId="23" fillId="14" borderId="1" xfId="2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165" fontId="27" fillId="14" borderId="1" xfId="3" applyNumberFormat="1" applyFont="1" applyFill="1" applyBorder="1" applyAlignment="1">
      <alignment horizontal="right"/>
    </xf>
    <xf numFmtId="172" fontId="23" fillId="14" borderId="1" xfId="2" applyNumberFormat="1" applyFont="1" applyFill="1" applyBorder="1" applyAlignment="1">
      <alignment horizontal="right"/>
    </xf>
    <xf numFmtId="10" fontId="23" fillId="14" borderId="1" xfId="0" applyNumberFormat="1" applyFont="1" applyFill="1" applyBorder="1" applyAlignment="1">
      <alignment horizontal="right"/>
    </xf>
    <xf numFmtId="4" fontId="23" fillId="14" borderId="1" xfId="2" applyNumberFormat="1" applyFont="1" applyFill="1" applyBorder="1" applyAlignment="1">
      <alignment horizontal="right"/>
    </xf>
    <xf numFmtId="173" fontId="23" fillId="0" borderId="1" xfId="2" applyNumberFormat="1" applyFont="1" applyBorder="1"/>
    <xf numFmtId="173" fontId="25" fillId="14" borderId="1" xfId="2" applyNumberFormat="1" applyFont="1" applyFill="1" applyBorder="1"/>
    <xf numFmtId="173" fontId="25" fillId="0" borderId="1" xfId="2" applyNumberFormat="1" applyFont="1" applyFill="1" applyBorder="1"/>
    <xf numFmtId="173" fontId="27" fillId="0" borderId="1" xfId="2" applyNumberFormat="1" applyFont="1" applyFill="1" applyBorder="1"/>
    <xf numFmtId="173" fontId="23" fillId="0" borderId="1" xfId="2" applyNumberFormat="1" applyFont="1" applyBorder="1" applyAlignment="1">
      <alignment horizontal="center"/>
    </xf>
    <xf numFmtId="173" fontId="23" fillId="7" borderId="1" xfId="2" applyNumberFormat="1" applyFont="1" applyFill="1" applyBorder="1"/>
    <xf numFmtId="173" fontId="23" fillId="7" borderId="1" xfId="2" applyNumberFormat="1" applyFont="1" applyFill="1" applyBorder="1" applyAlignment="1">
      <alignment horizontal="center" vertical="center"/>
    </xf>
    <xf numFmtId="173" fontId="23" fillId="0" borderId="1" xfId="2" applyNumberFormat="1" applyFont="1" applyBorder="1" applyAlignment="1">
      <alignment horizontal="center" vertical="center"/>
    </xf>
    <xf numFmtId="173" fontId="25" fillId="14" borderId="9" xfId="2" applyNumberFormat="1" applyFont="1" applyFill="1" applyBorder="1"/>
    <xf numFmtId="174" fontId="23" fillId="0" borderId="1" xfId="2" applyNumberFormat="1" applyFont="1" applyFill="1" applyBorder="1"/>
    <xf numFmtId="174" fontId="29" fillId="0" borderId="1" xfId="2" applyNumberFormat="1" applyFont="1" applyFill="1" applyBorder="1"/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359" t="s">
        <v>175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1"/>
    </row>
    <row r="2" spans="1:21" ht="15" customHeight="1">
      <c r="A2" s="356" t="s">
        <v>98</v>
      </c>
      <c r="B2" s="357"/>
      <c r="C2" s="357"/>
      <c r="D2" s="357"/>
      <c r="E2" s="357"/>
      <c r="F2" s="357"/>
      <c r="G2" s="357"/>
      <c r="H2" s="357"/>
      <c r="I2" s="358"/>
      <c r="J2" s="150"/>
      <c r="K2" s="19"/>
      <c r="L2" s="356" t="s">
        <v>99</v>
      </c>
      <c r="M2" s="357"/>
      <c r="N2" s="357"/>
      <c r="O2" s="357"/>
      <c r="P2" s="357"/>
      <c r="Q2" s="357"/>
      <c r="R2" s="357"/>
      <c r="S2" s="357"/>
      <c r="T2" s="358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162</v>
      </c>
      <c r="I3" s="151" t="s">
        <v>164</v>
      </c>
      <c r="J3" s="2" t="s">
        <v>210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162</v>
      </c>
      <c r="T3" s="163" t="s">
        <v>210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>(E4/D4-1)</f>
        <v>-1</v>
      </c>
      <c r="F5" s="54" t="e">
        <f>(F4/E4-1)</f>
        <v>#DIV/0!</v>
      </c>
      <c r="G5" s="54">
        <f>(G4/F4-1)</f>
        <v>0.13654187322799416</v>
      </c>
      <c r="H5" s="152">
        <f>(H4/G4-1)</f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108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0">(M4+M5)</f>
        <v>0</v>
      </c>
      <c r="N6" s="69">
        <f t="shared" si="0"/>
        <v>0</v>
      </c>
      <c r="O6" s="60">
        <f t="shared" si="0"/>
        <v>2094.1570959999999</v>
      </c>
      <c r="P6" s="60">
        <f t="shared" si="0"/>
        <v>0</v>
      </c>
      <c r="Q6" s="60">
        <f t="shared" si="0"/>
        <v>582.07399999999996</v>
      </c>
      <c r="R6" s="60">
        <f t="shared" si="0"/>
        <v>631.58799999999997</v>
      </c>
      <c r="S6" s="60">
        <f t="shared" si="0"/>
        <v>651.40700000000004</v>
      </c>
      <c r="T6" s="167">
        <f>(T4+T5)</f>
        <v>672.49300000000005</v>
      </c>
    </row>
    <row r="7" spans="1:21" ht="15" customHeight="1">
      <c r="A7" s="32" t="s">
        <v>3</v>
      </c>
      <c r="B7" s="69">
        <f t="shared" ref="B7:J7" si="1">SUM(B8:B12)</f>
        <v>0</v>
      </c>
      <c r="C7" s="60">
        <f t="shared" si="1"/>
        <v>2516.8966760000003</v>
      </c>
      <c r="D7" s="60">
        <f t="shared" si="1"/>
        <v>2519.6023679999998</v>
      </c>
      <c r="E7" s="60">
        <f t="shared" si="1"/>
        <v>0</v>
      </c>
      <c r="F7" s="60">
        <f t="shared" si="1"/>
        <v>1602.86043</v>
      </c>
      <c r="G7" s="60">
        <f t="shared" si="1"/>
        <v>1836.5920000000001</v>
      </c>
      <c r="H7" s="153">
        <f t="shared" si="1"/>
        <v>1854.4829999999999</v>
      </c>
      <c r="I7" s="153">
        <f t="shared" si="1"/>
        <v>403.09399999999994</v>
      </c>
      <c r="J7" s="60">
        <f t="shared" si="1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153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154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155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2">(M8+M9)</f>
        <v>0</v>
      </c>
      <c r="N10" s="69">
        <f t="shared" si="2"/>
        <v>0</v>
      </c>
      <c r="O10" s="60">
        <f t="shared" si="2"/>
        <v>870.02611300000001</v>
      </c>
      <c r="P10" s="60">
        <f t="shared" si="2"/>
        <v>0</v>
      </c>
      <c r="Q10" s="60">
        <f t="shared" si="2"/>
        <v>36.939</v>
      </c>
      <c r="R10" s="60">
        <f t="shared" si="2"/>
        <v>71.012</v>
      </c>
      <c r="S10" s="60">
        <f t="shared" si="2"/>
        <v>87.521000000000001</v>
      </c>
      <c r="T10" s="167">
        <f t="shared" si="2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3">M55-M41-M9</f>
        <v>0</v>
      </c>
      <c r="N12" s="70">
        <f t="shared" si="3"/>
        <v>0</v>
      </c>
      <c r="O12" s="60">
        <f t="shared" si="3"/>
        <v>2124.1436920000001</v>
      </c>
      <c r="P12" s="60">
        <f t="shared" si="3"/>
        <v>0</v>
      </c>
      <c r="Q12" s="60">
        <f t="shared" si="3"/>
        <v>618.88100000000009</v>
      </c>
      <c r="R12" s="60">
        <f t="shared" si="3"/>
        <v>668.72100000000012</v>
      </c>
      <c r="S12" s="60">
        <f t="shared" si="3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4">(B4-B7)</f>
        <v>0</v>
      </c>
      <c r="C13" s="53">
        <f t="shared" si="4"/>
        <v>448.6266099999998</v>
      </c>
      <c r="D13" s="53">
        <f t="shared" si="4"/>
        <v>465.62899300000026</v>
      </c>
      <c r="E13" s="53">
        <f t="shared" si="4"/>
        <v>0</v>
      </c>
      <c r="F13" s="53">
        <f t="shared" si="4"/>
        <v>85.903569999999945</v>
      </c>
      <c r="G13" s="53">
        <f t="shared" si="4"/>
        <v>82.759000000000015</v>
      </c>
      <c r="H13" s="155">
        <f t="shared" si="4"/>
        <v>57.657000000000153</v>
      </c>
      <c r="I13" s="155">
        <f t="shared" si="4"/>
        <v>22.168000000000063</v>
      </c>
      <c r="J13" s="53">
        <f t="shared" si="4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5">(D13/C13-1)</f>
        <v>3.7898739443922969E-2</v>
      </c>
      <c r="E14" s="54">
        <f t="shared" si="5"/>
        <v>-1</v>
      </c>
      <c r="F14" s="54" t="e">
        <f t="shared" si="5"/>
        <v>#DIV/0!</v>
      </c>
      <c r="G14" s="54">
        <f t="shared" si="5"/>
        <v>-3.6605812773554458E-2</v>
      </c>
      <c r="H14" s="152">
        <f t="shared" si="5"/>
        <v>-0.30331444314213385</v>
      </c>
      <c r="I14" s="152">
        <f t="shared" si="5"/>
        <v>-0.61551936451775147</v>
      </c>
      <c r="J14" s="54">
        <f t="shared" si="5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108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101</v>
      </c>
      <c r="M15" s="82"/>
      <c r="N15" s="82"/>
      <c r="O15" s="60">
        <f t="shared" ref="O15:T15" si="6">SUM(O16:O27)</f>
        <v>1214.5796989999999</v>
      </c>
      <c r="P15" s="60">
        <f t="shared" si="6"/>
        <v>0</v>
      </c>
      <c r="Q15" s="60">
        <f t="shared" si="6"/>
        <v>338.32100000000003</v>
      </c>
      <c r="R15" s="60">
        <f t="shared" si="6"/>
        <v>464.04000000000008</v>
      </c>
      <c r="S15" s="60">
        <f t="shared" si="6"/>
        <v>456.78899999999999</v>
      </c>
      <c r="T15" s="167">
        <f t="shared" si="6"/>
        <v>401.03</v>
      </c>
    </row>
    <row r="16" spans="1:21" ht="15" customHeight="1">
      <c r="A16" s="32" t="s">
        <v>5</v>
      </c>
      <c r="B16" s="55" t="e">
        <f t="shared" ref="B16:J16" si="7">(B13/B4)</f>
        <v>#DIV/0!</v>
      </c>
      <c r="C16" s="55">
        <f t="shared" si="7"/>
        <v>0.15128075780687017</v>
      </c>
      <c r="D16" s="55">
        <f t="shared" si="7"/>
        <v>0.15597752290932074</v>
      </c>
      <c r="E16" s="55" t="e">
        <f t="shared" si="7"/>
        <v>#DIV/0!</v>
      </c>
      <c r="F16" s="55">
        <f t="shared" si="7"/>
        <v>5.0867717454895975E-2</v>
      </c>
      <c r="G16" s="55">
        <f t="shared" si="7"/>
        <v>4.3118220690222898E-2</v>
      </c>
      <c r="H16" s="156">
        <f t="shared" si="7"/>
        <v>3.0153126863095878E-2</v>
      </c>
      <c r="I16" s="156">
        <f t="shared" si="7"/>
        <v>5.2127864704582264E-2</v>
      </c>
      <c r="J16" s="55">
        <f t="shared" si="7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165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176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177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>(D13+D17-D18-D19-D20)</f>
        <v>350.24746100000027</v>
      </c>
      <c r="E21" s="53">
        <f>(E13+E17-E18-E19-E20)</f>
        <v>0</v>
      </c>
      <c r="F21" s="53">
        <f>(F13+F17-F18-F19-F20)</f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178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179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8">(B22/B21)</f>
        <v>#DIV/0!</v>
      </c>
      <c r="C23" s="54">
        <f t="shared" si="8"/>
        <v>0.25730066681769359</v>
      </c>
      <c r="D23" s="66">
        <f t="shared" si="8"/>
        <v>0.26565444824166745</v>
      </c>
      <c r="E23" s="66" t="e">
        <f t="shared" si="8"/>
        <v>#DIV/0!</v>
      </c>
      <c r="F23" s="66">
        <f t="shared" si="8"/>
        <v>0.23535545334158245</v>
      </c>
      <c r="G23" s="66">
        <f t="shared" si="8"/>
        <v>0.20535003306655145</v>
      </c>
      <c r="H23" s="157">
        <f t="shared" si="8"/>
        <v>-6.323711108615046E-2</v>
      </c>
      <c r="I23" s="157">
        <f t="shared" si="8"/>
        <v>0.10327968155070931</v>
      </c>
      <c r="J23" s="66">
        <f t="shared" si="8"/>
        <v>0.14824401016313268</v>
      </c>
      <c r="L23" s="40" t="s">
        <v>180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9">(B21-B22)</f>
        <v>0</v>
      </c>
      <c r="C24" s="60">
        <f t="shared" si="9"/>
        <v>265.1343989999998</v>
      </c>
      <c r="D24" s="60">
        <f t="shared" si="9"/>
        <v>257.20266500000025</v>
      </c>
      <c r="E24" s="60"/>
      <c r="F24" s="60">
        <f t="shared" si="9"/>
        <v>61.608226999999943</v>
      </c>
      <c r="G24" s="60">
        <f t="shared" si="9"/>
        <v>58.878000000000014</v>
      </c>
      <c r="H24" s="153">
        <f t="shared" si="9"/>
        <v>37.864000000000154</v>
      </c>
      <c r="I24" s="153">
        <f t="shared" si="9"/>
        <v>20.725000000000062</v>
      </c>
      <c r="J24" s="60">
        <f t="shared" si="9"/>
        <v>35.869999999999955</v>
      </c>
      <c r="L24" s="40" t="s">
        <v>169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0">B24/(B4)</f>
        <v>#DIV/0!</v>
      </c>
      <c r="C25" s="56">
        <f t="shared" si="10"/>
        <v>8.940560347365277E-2</v>
      </c>
      <c r="D25" s="56">
        <f t="shared" si="10"/>
        <v>8.615836894928032E-2</v>
      </c>
      <c r="E25" s="56" t="e">
        <f t="shared" si="10"/>
        <v>#DIV/0!</v>
      </c>
      <c r="F25" s="56">
        <f t="shared" si="10"/>
        <v>3.6481253153193664E-2</v>
      </c>
      <c r="G25" s="56">
        <f t="shared" si="10"/>
        <v>3.06759941250975E-2</v>
      </c>
      <c r="H25" s="158">
        <f t="shared" si="10"/>
        <v>1.9801897350612482E-2</v>
      </c>
      <c r="I25" s="158">
        <f t="shared" si="10"/>
        <v>4.8734662396358153E-2</v>
      </c>
      <c r="J25" s="56">
        <f t="shared" si="10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108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1">(B24-B27+B28)</f>
        <v>0</v>
      </c>
      <c r="C29" s="60">
        <f t="shared" si="11"/>
        <v>265.1343989999998</v>
      </c>
      <c r="D29" s="60">
        <f t="shared" si="11"/>
        <v>257.20266500000025</v>
      </c>
      <c r="E29" s="60">
        <f t="shared" si="11"/>
        <v>0</v>
      </c>
      <c r="F29" s="60">
        <f t="shared" si="11"/>
        <v>61.608226999999943</v>
      </c>
      <c r="G29" s="60">
        <f t="shared" si="11"/>
        <v>58.380000000000017</v>
      </c>
      <c r="H29" s="153">
        <f t="shared" si="11"/>
        <v>37.645000000000152</v>
      </c>
      <c r="I29" s="153">
        <f t="shared" si="11"/>
        <v>20.725000000000062</v>
      </c>
      <c r="J29" s="60">
        <f t="shared" si="11"/>
        <v>35.869999999999955</v>
      </c>
      <c r="L29" s="32" t="s">
        <v>44</v>
      </c>
      <c r="M29" s="69">
        <f t="shared" ref="M29:T29" si="12">SUM(M30:M39)</f>
        <v>0</v>
      </c>
      <c r="N29" s="69">
        <f t="shared" si="12"/>
        <v>0</v>
      </c>
      <c r="O29" s="60">
        <f t="shared" si="12"/>
        <v>2305.0868780000001</v>
      </c>
      <c r="P29" s="60">
        <f t="shared" si="12"/>
        <v>0</v>
      </c>
      <c r="Q29" s="60">
        <f t="shared" si="12"/>
        <v>474.75200000000001</v>
      </c>
      <c r="R29" s="60">
        <f t="shared" si="12"/>
        <v>513.80100000000004</v>
      </c>
      <c r="S29" s="60">
        <f t="shared" si="12"/>
        <v>557.97499999999991</v>
      </c>
      <c r="T29" s="60">
        <f t="shared" si="12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3">(E29/D29-1)</f>
        <v>-1</v>
      </c>
      <c r="F30" s="54" t="e">
        <f t="shared" si="13"/>
        <v>#DIV/0!</v>
      </c>
      <c r="G30" s="57">
        <f t="shared" si="13"/>
        <v>-5.2399284270912894E-2</v>
      </c>
      <c r="H30" s="159">
        <f t="shared" si="13"/>
        <v>-0.35517300445357758</v>
      </c>
      <c r="I30" s="159">
        <f t="shared" si="13"/>
        <v>-0.44946207995749821</v>
      </c>
      <c r="J30" s="57">
        <f t="shared" si="13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108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4">(E32/D32-1)</f>
        <v>-1</v>
      </c>
      <c r="F33" s="58" t="e">
        <f t="shared" si="14"/>
        <v>#DIV/0!</v>
      </c>
      <c r="G33" s="58">
        <f t="shared" si="14"/>
        <v>-0.16910229645093944</v>
      </c>
      <c r="H33" s="161">
        <f t="shared" si="14"/>
        <v>-0.35678391959798994</v>
      </c>
      <c r="I33" s="161">
        <f t="shared" si="14"/>
        <v>-0.453125</v>
      </c>
      <c r="J33" s="58">
        <f t="shared" si="14"/>
        <v>0.73571428571428599</v>
      </c>
      <c r="L33" s="40" t="s">
        <v>181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108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182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158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183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353" t="s">
        <v>102</v>
      </c>
      <c r="B37" s="354"/>
      <c r="C37" s="354"/>
      <c r="D37" s="354"/>
      <c r="E37" s="354"/>
      <c r="F37" s="354"/>
      <c r="G37" s="354"/>
      <c r="H37" s="355"/>
      <c r="I37" s="243"/>
      <c r="J37" s="238"/>
      <c r="K37" s="19"/>
      <c r="L37" s="40" t="s">
        <v>184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162</v>
      </c>
      <c r="J38" s="2" t="s">
        <v>210</v>
      </c>
      <c r="K38" s="19"/>
      <c r="L38" s="33" t="s">
        <v>156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5">SUM(M42:M48)</f>
        <v>0</v>
      </c>
      <c r="N41" s="69">
        <f t="shared" si="15"/>
        <v>0</v>
      </c>
      <c r="O41" s="60">
        <f t="shared" si="15"/>
        <v>691.272784</v>
      </c>
      <c r="P41" s="60">
        <f t="shared" si="15"/>
        <v>0</v>
      </c>
      <c r="Q41" s="60">
        <f t="shared" si="15"/>
        <v>159.27300000000002</v>
      </c>
      <c r="R41" s="60">
        <f t="shared" si="15"/>
        <v>239.16300000000001</v>
      </c>
      <c r="S41" s="60">
        <f t="shared" si="15"/>
        <v>257.68200000000002</v>
      </c>
      <c r="T41" s="167">
        <f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>+B40+B41+B42</f>
        <v>0</v>
      </c>
      <c r="C43" s="60">
        <f>+C40+C41+C42</f>
        <v>0</v>
      </c>
      <c r="D43" s="60">
        <f>+D40+D41+D42</f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172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>+B39+B43</f>
        <v>0</v>
      </c>
      <c r="C44" s="62">
        <f>+C39+C43</f>
        <v>0</v>
      </c>
      <c r="D44" s="62">
        <f>+D39+D43</f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162</v>
      </c>
      <c r="J47" s="2" t="s">
        <v>210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>B21</f>
        <v>0</v>
      </c>
      <c r="C48" s="60">
        <f>C21</f>
        <v>356.98752799999977</v>
      </c>
      <c r="D48" s="60">
        <f>D21</f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>B18</f>
        <v>0</v>
      </c>
      <c r="C49" s="64">
        <f>C18</f>
        <v>67.671909999999997</v>
      </c>
      <c r="D49" s="64">
        <f>D18</f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16">(M29-M41-M9)</f>
        <v>0</v>
      </c>
      <c r="N49" s="69">
        <f t="shared" si="16"/>
        <v>0</v>
      </c>
      <c r="O49" s="60">
        <f t="shared" si="16"/>
        <v>909.5639930000001</v>
      </c>
      <c r="P49" s="60">
        <f t="shared" si="16"/>
        <v>0</v>
      </c>
      <c r="Q49" s="60">
        <f t="shared" si="16"/>
        <v>280.56</v>
      </c>
      <c r="R49" s="60">
        <f t="shared" si="16"/>
        <v>204.68100000000004</v>
      </c>
      <c r="S49" s="60">
        <f t="shared" si="16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>B20</f>
        <v>0</v>
      </c>
      <c r="C50" s="64">
        <f>C20</f>
        <v>0</v>
      </c>
      <c r="D50" s="64">
        <f>D20</f>
        <v>0</v>
      </c>
      <c r="E50" s="64"/>
      <c r="F50" s="64"/>
      <c r="G50" s="64">
        <f>F20</f>
        <v>0</v>
      </c>
      <c r="H50" s="64">
        <f>G20</f>
        <v>0</v>
      </c>
      <c r="I50" s="64">
        <f>H20</f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>-B22</f>
        <v>0</v>
      </c>
      <c r="C52" s="64">
        <f>-C22</f>
        <v>-91.853128999999996</v>
      </c>
      <c r="D52" s="64">
        <f>-D22</f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172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>SUM(B48:B52)</f>
        <v>0</v>
      </c>
      <c r="C53" s="60">
        <f>SUM(C48:C52)</f>
        <v>332.80630899999983</v>
      </c>
      <c r="D53" s="60">
        <f>SUM(D48:D52)</f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>-(N16-M16)</f>
        <v>0</v>
      </c>
      <c r="D54" s="74">
        <f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159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>SUM(B53:B54)</f>
        <v>0</v>
      </c>
      <c r="C55" s="62">
        <f>SUM(C53:C54)</f>
        <v>332.80630899999983</v>
      </c>
      <c r="D55" s="62">
        <f>SUM(D53:D54)</f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17">O15+O29</f>
        <v>3519.666577</v>
      </c>
      <c r="P55" s="60">
        <f t="shared" si="17"/>
        <v>0</v>
      </c>
      <c r="Q55" s="60">
        <f t="shared" si="17"/>
        <v>813.07300000000009</v>
      </c>
      <c r="R55" s="60">
        <f t="shared" si="17"/>
        <v>977.84100000000012</v>
      </c>
      <c r="S55" s="60">
        <f t="shared" si="17"/>
        <v>1014.7639999999999</v>
      </c>
      <c r="T55" s="167">
        <f t="shared" si="17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162</v>
      </c>
      <c r="J58" s="239" t="s">
        <v>210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353" t="s">
        <v>100</v>
      </c>
      <c r="M59" s="354"/>
      <c r="N59" s="354"/>
      <c r="O59" s="354"/>
      <c r="P59" s="354"/>
      <c r="Q59" s="354"/>
      <c r="R59" s="354"/>
      <c r="S59" s="355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162</v>
      </c>
      <c r="T60" s="169" t="s">
        <v>210</v>
      </c>
    </row>
    <row r="61" spans="1:20" ht="15" customHeight="1">
      <c r="A61" s="33" t="s">
        <v>77</v>
      </c>
      <c r="B61" s="64">
        <f>M10</f>
        <v>0</v>
      </c>
      <c r="C61" s="64">
        <f>N10</f>
        <v>0</v>
      </c>
      <c r="D61" s="64">
        <f>O10</f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>M34</f>
        <v>0</v>
      </c>
      <c r="C62" s="64">
        <f>N34</f>
        <v>0</v>
      </c>
      <c r="D62" s="64">
        <f>O34</f>
        <v>65.760679999999994</v>
      </c>
      <c r="E62" s="64"/>
      <c r="F62" s="64"/>
      <c r="G62" s="64">
        <f>Q33+Q35</f>
        <v>66.286000000000001</v>
      </c>
      <c r="H62" s="64">
        <f>R33+R35</f>
        <v>38.247</v>
      </c>
      <c r="I62" s="64">
        <f>S33+S35</f>
        <v>16.384</v>
      </c>
      <c r="J62" s="64">
        <f>T33+T35</f>
        <v>40.212000000000003</v>
      </c>
      <c r="L62" s="48" t="s">
        <v>52</v>
      </c>
      <c r="M62" s="75">
        <f t="shared" ref="M62:S62" si="18">B32</f>
        <v>0</v>
      </c>
      <c r="N62" s="75">
        <f t="shared" si="18"/>
        <v>15.83</v>
      </c>
      <c r="O62" s="60">
        <f t="shared" si="18"/>
        <v>13.99</v>
      </c>
      <c r="P62" s="60">
        <f t="shared" si="18"/>
        <v>0</v>
      </c>
      <c r="Q62" s="60">
        <f t="shared" si="18"/>
        <v>4.79</v>
      </c>
      <c r="R62" s="60">
        <f t="shared" si="18"/>
        <v>3.98</v>
      </c>
      <c r="S62" s="153">
        <f t="shared" si="18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19">B60+B61-B62</f>
        <v>0</v>
      </c>
      <c r="C63" s="62">
        <f t="shared" si="19"/>
        <v>0</v>
      </c>
      <c r="D63" s="62">
        <f t="shared" si="19"/>
        <v>4218.3248257000005</v>
      </c>
      <c r="E63" s="62"/>
      <c r="F63" s="62"/>
      <c r="G63" s="62">
        <f t="shared" si="19"/>
        <v>576.79700000000003</v>
      </c>
      <c r="H63" s="175">
        <f t="shared" si="19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20">(M6*1000000)/B59</f>
        <v>#DIV/0!</v>
      </c>
      <c r="N63" s="76" t="e">
        <f t="shared" si="20"/>
        <v>#DIV/0!</v>
      </c>
      <c r="O63" s="64">
        <f t="shared" si="20"/>
        <v>125.07065131538594</v>
      </c>
      <c r="P63" s="64" t="e">
        <f t="shared" si="20"/>
        <v>#DIV/0!</v>
      </c>
      <c r="Q63" s="64" t="e">
        <f t="shared" si="20"/>
        <v>#DIV/0!</v>
      </c>
      <c r="R63" s="64">
        <f t="shared" si="20"/>
        <v>42.72104978354978</v>
      </c>
      <c r="S63" s="170">
        <f t="shared" si="20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21">(M61/M62)</f>
        <v>#DIV/0!</v>
      </c>
      <c r="N65" s="76">
        <f t="shared" si="21"/>
        <v>4.8389134554643078</v>
      </c>
      <c r="O65" s="64">
        <f t="shared" si="21"/>
        <v>14.574696211579701</v>
      </c>
      <c r="P65" s="64" t="e">
        <f t="shared" si="21"/>
        <v>#DIV/0!</v>
      </c>
      <c r="Q65" s="64">
        <f t="shared" si="21"/>
        <v>15.323590814196244</v>
      </c>
      <c r="R65" s="64">
        <f t="shared" si="21"/>
        <v>10.301507537688442</v>
      </c>
      <c r="S65" s="170">
        <f t="shared" si="21"/>
        <v>15.234375</v>
      </c>
      <c r="T65" s="183">
        <f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22">(M61/M63)</f>
        <v>#DIV/0!</v>
      </c>
      <c r="N66" s="76" t="e">
        <f t="shared" si="22"/>
        <v>#DIV/0!</v>
      </c>
      <c r="O66" s="64">
        <f t="shared" si="22"/>
        <v>1.6302785494083105</v>
      </c>
      <c r="P66" s="64" t="e">
        <f t="shared" si="22"/>
        <v>#DIV/0!</v>
      </c>
      <c r="Q66" s="64" t="e">
        <f t="shared" si="22"/>
        <v>#DIV/0!</v>
      </c>
      <c r="R66" s="64">
        <f t="shared" si="22"/>
        <v>0.95971424409583472</v>
      </c>
      <c r="S66" s="170">
        <f t="shared" si="22"/>
        <v>0.88512404687085033</v>
      </c>
      <c r="T66" s="183">
        <f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23">B63/B13</f>
        <v>#DIV/0!</v>
      </c>
      <c r="N67" s="76">
        <f t="shared" si="23"/>
        <v>0</v>
      </c>
      <c r="O67" s="64">
        <f t="shared" si="23"/>
        <v>9.0594118689254337</v>
      </c>
      <c r="P67" s="64" t="e">
        <f t="shared" si="23"/>
        <v>#DIV/0!</v>
      </c>
      <c r="Q67" s="64">
        <f t="shared" si="23"/>
        <v>0</v>
      </c>
      <c r="R67" s="64">
        <f t="shared" si="23"/>
        <v>6.9695984726736659</v>
      </c>
      <c r="S67" s="170">
        <f t="shared" si="2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24">(B24/M6)</f>
        <v>#DIV/0!</v>
      </c>
      <c r="N68" s="58" t="e">
        <f t="shared" si="24"/>
        <v>#DIV/0!</v>
      </c>
      <c r="O68" s="58">
        <f t="shared" si="24"/>
        <v>0.12281918366643887</v>
      </c>
      <c r="P68" s="58" t="e">
        <f t="shared" si="24"/>
        <v>#DIV/0!</v>
      </c>
      <c r="Q68" s="58">
        <f t="shared" si="24"/>
        <v>0.10584260248696892</v>
      </c>
      <c r="R68" s="58">
        <f t="shared" si="24"/>
        <v>9.3222163815652001E-2</v>
      </c>
      <c r="S68" s="161">
        <f t="shared" si="2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25">(M10/M6)</f>
        <v>#DIV/0!</v>
      </c>
      <c r="N70" s="77" t="e">
        <f t="shared" si="25"/>
        <v>#DIV/0!</v>
      </c>
      <c r="O70" s="64">
        <f t="shared" si="25"/>
        <v>0.41545408157860569</v>
      </c>
      <c r="P70" s="64" t="e">
        <f t="shared" si="25"/>
        <v>#DIV/0!</v>
      </c>
      <c r="Q70" s="64">
        <f t="shared" si="25"/>
        <v>6.3461003240137856E-2</v>
      </c>
      <c r="R70" s="64">
        <f t="shared" si="25"/>
        <v>0.11243405511187674</v>
      </c>
      <c r="S70" s="170">
        <f t="shared" si="2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26">(M10-M34)/M6</f>
        <v>#DIV/0!</v>
      </c>
      <c r="N71" s="77" t="e">
        <f t="shared" si="26"/>
        <v>#DIV/0!</v>
      </c>
      <c r="O71" s="64">
        <f t="shared" si="26"/>
        <v>0.38405210121829375</v>
      </c>
      <c r="P71" s="64" t="e">
        <f t="shared" si="26"/>
        <v>#DIV/0!</v>
      </c>
      <c r="Q71" s="64">
        <f t="shared" si="26"/>
        <v>6.3461003240137856E-2</v>
      </c>
      <c r="R71" s="64">
        <f t="shared" si="26"/>
        <v>0.11243405511187674</v>
      </c>
      <c r="S71" s="170">
        <f t="shared" si="2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27">(M64/M61)</f>
        <v>0</v>
      </c>
      <c r="N72" s="66">
        <f t="shared" si="27"/>
        <v>0</v>
      </c>
      <c r="O72" s="66">
        <f t="shared" si="27"/>
        <v>9.8087297694948502E-3</v>
      </c>
      <c r="P72" s="66">
        <f t="shared" si="27"/>
        <v>4.7543581616481777E-2</v>
      </c>
      <c r="Q72" s="66">
        <f t="shared" si="27"/>
        <v>2.7247956403269751E-2</v>
      </c>
      <c r="R72" s="67">
        <f t="shared" si="27"/>
        <v>0</v>
      </c>
      <c r="S72" s="172">
        <f t="shared" si="27"/>
        <v>0</v>
      </c>
      <c r="T72" s="187">
        <f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T76" si="28">(N75+N73-N74)</f>
        <v>#DIV/0!</v>
      </c>
      <c r="O76" s="26">
        <f t="shared" si="28"/>
        <v>291.65854784659734</v>
      </c>
      <c r="P76" s="26" t="e">
        <f t="shared" si="28"/>
        <v>#DIV/0!</v>
      </c>
      <c r="Q76" s="26" t="e">
        <f t="shared" si="28"/>
        <v>#DIV/0!</v>
      </c>
      <c r="R76" s="26" t="e">
        <f t="shared" si="28"/>
        <v>#DIV/0!</v>
      </c>
      <c r="S76" s="191" t="e">
        <f t="shared" si="28"/>
        <v>#DIV/0!</v>
      </c>
      <c r="T76" s="192" t="e">
        <f t="shared" si="28"/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105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X1048576"/>
  <sheetViews>
    <sheetView showGridLines="0" tabSelected="1" zoomScale="53" zoomScaleNormal="100" zoomScaleSheetLayoutView="85" workbookViewId="0">
      <selection activeCell="B53" sqref="B53:F56"/>
    </sheetView>
  </sheetViews>
  <sheetFormatPr defaultColWidth="9.109375" defaultRowHeight="15" customHeight="1"/>
  <cols>
    <col min="1" max="1" width="3.5546875" style="269" customWidth="1"/>
    <col min="2" max="2" width="53.88671875" style="278" customWidth="1"/>
    <col min="3" max="4" width="14.109375" style="278" bestFit="1" customWidth="1"/>
    <col min="5" max="5" width="16.5546875" style="278" bestFit="1" customWidth="1"/>
    <col min="6" max="7" width="13.88671875" style="278" customWidth="1"/>
    <col min="8" max="8" width="4" style="269" customWidth="1"/>
    <col min="9" max="9" width="43.44140625" style="269" customWidth="1"/>
    <col min="10" max="10" width="19.88671875" style="269" customWidth="1"/>
    <col min="11" max="11" width="17.5546875" style="269" customWidth="1"/>
    <col min="12" max="12" width="15.5546875" style="278" customWidth="1"/>
    <col min="13" max="14" width="17.6640625" style="278" customWidth="1"/>
    <col min="15" max="15" width="10.21875" style="278" customWidth="1"/>
    <col min="16" max="17" width="12.5546875" style="278" customWidth="1"/>
    <col min="18" max="18" width="11.88671875" style="278" customWidth="1"/>
    <col min="19" max="19" width="13.109375" style="278" customWidth="1"/>
    <col min="20" max="20" width="14.88671875" style="278" customWidth="1"/>
    <col min="21" max="21" width="13.109375" style="278" hidden="1" customWidth="1"/>
    <col min="22" max="22" width="8.88671875" style="278" hidden="1" customWidth="1"/>
    <col min="23" max="23" width="13.5546875" style="278" customWidth="1"/>
    <col min="24" max="24" width="13" style="278" customWidth="1"/>
    <col min="25" max="27" width="15.109375" style="278" customWidth="1"/>
    <col min="28" max="28" width="13.109375" style="278" customWidth="1"/>
    <col min="29" max="76" width="9.109375" style="278"/>
    <col min="77" max="16384" width="9.109375" style="269"/>
  </cols>
  <sheetData>
    <row r="1" spans="1:23" customFormat="1" ht="15" customHeight="1" thickBot="1">
      <c r="A1" s="365"/>
      <c r="B1" s="374" t="s">
        <v>219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297"/>
      <c r="P1" s="297"/>
      <c r="Q1" s="297"/>
      <c r="R1" s="297"/>
      <c r="S1" s="297"/>
      <c r="T1" s="297"/>
      <c r="U1" s="297"/>
      <c r="V1" s="297"/>
      <c r="W1" s="297"/>
    </row>
    <row r="2" spans="1:23" customFormat="1" ht="15" customHeight="1">
      <c r="A2" s="365"/>
      <c r="B2" s="371" t="s">
        <v>103</v>
      </c>
      <c r="C2" s="372"/>
      <c r="D2" s="372"/>
      <c r="E2" s="372"/>
      <c r="F2" s="372"/>
      <c r="G2" s="372"/>
      <c r="H2" s="272"/>
      <c r="I2" s="376" t="s">
        <v>104</v>
      </c>
      <c r="J2" s="377"/>
      <c r="K2" s="377"/>
      <c r="L2" s="377"/>
      <c r="M2" s="377"/>
      <c r="N2" s="378"/>
      <c r="O2" s="298"/>
      <c r="P2" s="298"/>
      <c r="Q2" s="298"/>
      <c r="R2" s="298"/>
      <c r="S2" s="298"/>
    </row>
    <row r="3" spans="1:23" customFormat="1" ht="15" customHeight="1">
      <c r="A3" s="365"/>
      <c r="B3" s="286" t="s">
        <v>0</v>
      </c>
      <c r="C3" s="288" t="s">
        <v>211</v>
      </c>
      <c r="D3" s="288" t="s">
        <v>216</v>
      </c>
      <c r="E3" s="288" t="s">
        <v>217</v>
      </c>
      <c r="F3" s="288" t="s">
        <v>218</v>
      </c>
      <c r="G3" s="333" t="s">
        <v>224</v>
      </c>
      <c r="H3" s="272"/>
      <c r="I3" s="286" t="s">
        <v>0</v>
      </c>
      <c r="J3" s="288" t="s">
        <v>211</v>
      </c>
      <c r="K3" s="288" t="s">
        <v>216</v>
      </c>
      <c r="L3" s="288" t="s">
        <v>217</v>
      </c>
      <c r="M3" s="288" t="s">
        <v>218</v>
      </c>
      <c r="N3" s="288" t="s">
        <v>224</v>
      </c>
    </row>
    <row r="4" spans="1:23" customFormat="1" ht="15" customHeight="1">
      <c r="A4" s="365"/>
      <c r="B4" s="279" t="s">
        <v>1</v>
      </c>
      <c r="C4" s="320">
        <v>159.70099999999999</v>
      </c>
      <c r="D4" s="320">
        <v>219.846</v>
      </c>
      <c r="E4" s="320">
        <v>339.42700000000002</v>
      </c>
      <c r="F4" s="320">
        <v>517.48299999999995</v>
      </c>
      <c r="G4" s="320">
        <v>351.88600000000002</v>
      </c>
      <c r="H4" s="273"/>
      <c r="I4" s="280" t="s">
        <v>36</v>
      </c>
      <c r="J4" s="391">
        <v>0.14899999999999999</v>
      </c>
      <c r="K4" s="391">
        <v>0.14899999999999999</v>
      </c>
      <c r="L4" s="391">
        <v>74.668999999999997</v>
      </c>
      <c r="M4" s="391">
        <v>96.909000000000006</v>
      </c>
      <c r="N4" s="391">
        <v>96.909000000000006</v>
      </c>
    </row>
    <row r="5" spans="1:23" customFormat="1" ht="15" customHeight="1">
      <c r="A5" s="365"/>
      <c r="B5" s="315" t="s">
        <v>2</v>
      </c>
      <c r="C5" s="328" t="s">
        <v>215</v>
      </c>
      <c r="D5" s="316">
        <f>(D4/C4-1)</f>
        <v>0.37661004001227294</v>
      </c>
      <c r="E5" s="316">
        <f>(E4/D4-1)</f>
        <v>0.54393075152606829</v>
      </c>
      <c r="F5" s="316">
        <f>(F4/E4-1)</f>
        <v>0.52457818617847107</v>
      </c>
      <c r="G5" s="316"/>
      <c r="H5" s="274"/>
      <c r="I5" s="280" t="s">
        <v>37</v>
      </c>
      <c r="J5" s="391">
        <v>70.097999999999999</v>
      </c>
      <c r="K5" s="391">
        <v>104.164</v>
      </c>
      <c r="L5" s="391">
        <v>51.552</v>
      </c>
      <c r="M5" s="391">
        <v>316.95100000000002</v>
      </c>
      <c r="N5" s="391">
        <v>377.803</v>
      </c>
    </row>
    <row r="6" spans="1:23" customFormat="1" ht="15.6">
      <c r="A6" s="365"/>
      <c r="B6" s="317" t="s">
        <v>108</v>
      </c>
      <c r="C6" s="328" t="s">
        <v>215</v>
      </c>
      <c r="D6" s="328" t="s">
        <v>215</v>
      </c>
      <c r="E6" s="328" t="s">
        <v>215</v>
      </c>
      <c r="F6" s="328">
        <f>+((F4/C4)^(1/3)-1)</f>
        <v>0.47977658328172845</v>
      </c>
      <c r="G6" s="328"/>
      <c r="H6" s="274"/>
      <c r="I6" s="289" t="s">
        <v>38</v>
      </c>
      <c r="J6" s="392">
        <f>(J4+J5)</f>
        <v>70.247</v>
      </c>
      <c r="K6" s="392">
        <f>(K4+K5)</f>
        <v>104.313</v>
      </c>
      <c r="L6" s="392">
        <f>(L4+L5)</f>
        <v>126.221</v>
      </c>
      <c r="M6" s="392">
        <f>(M4+M5)</f>
        <v>413.86</v>
      </c>
      <c r="N6" s="392">
        <f>(N4+N5)</f>
        <v>474.71199999999999</v>
      </c>
    </row>
    <row r="7" spans="1:23" customFormat="1" ht="15" customHeight="1">
      <c r="A7" s="365"/>
      <c r="B7" s="279" t="s">
        <v>3</v>
      </c>
      <c r="C7" s="321">
        <f>SUM(C8:C10)</f>
        <v>133.49299999999999</v>
      </c>
      <c r="D7" s="321">
        <f>SUM(D8:D10)</f>
        <v>177.75399999999999</v>
      </c>
      <c r="E7" s="321">
        <f>SUM(E8:E10)</f>
        <v>285.11600000000004</v>
      </c>
      <c r="F7" s="321">
        <f>SUM(F8:F10)</f>
        <v>416.09</v>
      </c>
      <c r="G7" s="321">
        <f>SUM(G8:G10)</f>
        <v>280.505</v>
      </c>
      <c r="H7" s="275"/>
      <c r="I7" s="280" t="s">
        <v>39</v>
      </c>
      <c r="J7" s="391"/>
      <c r="K7" s="391"/>
      <c r="L7" s="391"/>
      <c r="M7" s="391"/>
      <c r="N7" s="391"/>
    </row>
    <row r="8" spans="1:23" customFormat="1" ht="15" customHeight="1">
      <c r="A8" s="365"/>
      <c r="B8" s="280" t="s">
        <v>220</v>
      </c>
      <c r="C8" s="276" t="s">
        <v>209</v>
      </c>
      <c r="D8" s="276" t="s">
        <v>209</v>
      </c>
      <c r="E8" s="270">
        <v>192.21700000000001</v>
      </c>
      <c r="F8" s="270">
        <v>278.44799999999998</v>
      </c>
      <c r="G8" s="270">
        <v>185.49299999999999</v>
      </c>
      <c r="H8" s="275"/>
      <c r="I8" s="280" t="s">
        <v>40</v>
      </c>
      <c r="J8" s="391">
        <v>0</v>
      </c>
      <c r="K8" s="391">
        <v>0</v>
      </c>
      <c r="L8" s="391">
        <v>0</v>
      </c>
      <c r="M8" s="391">
        <v>0</v>
      </c>
      <c r="N8" s="391">
        <v>0</v>
      </c>
    </row>
    <row r="9" spans="1:23" customFormat="1" ht="15" customHeight="1">
      <c r="A9" s="365"/>
      <c r="B9" s="280" t="s">
        <v>67</v>
      </c>
      <c r="C9" s="277">
        <v>37.72</v>
      </c>
      <c r="D9" s="277">
        <v>55.046999999999997</v>
      </c>
      <c r="E9" s="277">
        <v>76.353999999999999</v>
      </c>
      <c r="F9" s="277">
        <v>114.04300000000001</v>
      </c>
      <c r="G9" s="277">
        <v>80.793999999999997</v>
      </c>
      <c r="H9" s="274"/>
      <c r="I9" s="280" t="s">
        <v>41</v>
      </c>
      <c r="J9" s="391">
        <v>0</v>
      </c>
      <c r="K9" s="391">
        <v>0</v>
      </c>
      <c r="L9" s="391">
        <v>0</v>
      </c>
      <c r="M9" s="391">
        <v>0</v>
      </c>
      <c r="N9" s="391">
        <v>0</v>
      </c>
    </row>
    <row r="10" spans="1:23" customFormat="1" ht="15" customHeight="1">
      <c r="A10" s="365"/>
      <c r="B10" s="280" t="s">
        <v>68</v>
      </c>
      <c r="C10" s="277">
        <v>95.772999999999996</v>
      </c>
      <c r="D10" s="277">
        <v>122.70699999999999</v>
      </c>
      <c r="E10" s="277">
        <v>16.545000000000002</v>
      </c>
      <c r="F10" s="277">
        <v>23.599</v>
      </c>
      <c r="G10" s="277">
        <v>14.218</v>
      </c>
      <c r="H10" s="274"/>
      <c r="I10" s="322" t="s">
        <v>42</v>
      </c>
      <c r="J10" s="393">
        <f>(J8+J9)</f>
        <v>0</v>
      </c>
      <c r="K10" s="393">
        <f>(K8+K9)</f>
        <v>0</v>
      </c>
      <c r="L10" s="393">
        <f>(L8+L9)</f>
        <v>0</v>
      </c>
      <c r="M10" s="393">
        <f>(M8+M9)</f>
        <v>0</v>
      </c>
      <c r="N10" s="393">
        <f>(N8+N9)</f>
        <v>0</v>
      </c>
    </row>
    <row r="11" spans="1:23" customFormat="1" ht="15" customHeight="1">
      <c r="A11" s="365"/>
      <c r="B11" s="289" t="s">
        <v>4</v>
      </c>
      <c r="C11" s="290">
        <f>(C4-C7)</f>
        <v>26.207999999999998</v>
      </c>
      <c r="D11" s="290">
        <f>(D4-D7)</f>
        <v>42.092000000000013</v>
      </c>
      <c r="E11" s="290">
        <f>(E4-E7)</f>
        <v>54.310999999999979</v>
      </c>
      <c r="F11" s="290">
        <f>(F4-F7)</f>
        <v>101.39299999999997</v>
      </c>
      <c r="G11" s="290">
        <f>(G4-G7)</f>
        <v>71.381000000000029</v>
      </c>
      <c r="H11" s="274"/>
      <c r="I11" s="322" t="s">
        <v>43</v>
      </c>
      <c r="J11" s="393">
        <f>J6+J44</f>
        <v>72.66</v>
      </c>
      <c r="K11" s="393">
        <f>K6+K44</f>
        <v>108.44</v>
      </c>
      <c r="L11" s="393">
        <f>L6+L44</f>
        <v>127.925</v>
      </c>
      <c r="M11" s="393">
        <f>M6+M44</f>
        <v>417.286</v>
      </c>
      <c r="N11" s="393">
        <f>N6+N44</f>
        <v>480.75</v>
      </c>
    </row>
    <row r="12" spans="1:23" customFormat="1" ht="15" customHeight="1">
      <c r="A12" s="365"/>
      <c r="B12" s="315" t="s">
        <v>2</v>
      </c>
      <c r="C12" s="328" t="s">
        <v>215</v>
      </c>
      <c r="D12" s="328">
        <f>(D11/C11-1)</f>
        <v>0.60607448107448159</v>
      </c>
      <c r="E12" s="328">
        <f>(E11/D11-1)</f>
        <v>0.29029269219804155</v>
      </c>
      <c r="F12" s="328">
        <f>(F11/E11-1)</f>
        <v>0.86689620887113139</v>
      </c>
      <c r="G12" s="328"/>
      <c r="H12" s="274"/>
      <c r="I12" s="322" t="s">
        <v>43</v>
      </c>
      <c r="J12" s="393">
        <f>J50-J35</f>
        <v>72.659999999999982</v>
      </c>
      <c r="K12" s="393">
        <f>K50-K35</f>
        <v>108.44</v>
      </c>
      <c r="L12" s="393">
        <f>L50-L35</f>
        <v>127.92500000000001</v>
      </c>
      <c r="M12" s="393">
        <f>M50-M35</f>
        <v>417.28600000000006</v>
      </c>
      <c r="N12" s="393">
        <f>N50-N35</f>
        <v>480.75000000000006</v>
      </c>
    </row>
    <row r="13" spans="1:23" customFormat="1" ht="15" customHeight="1">
      <c r="A13" s="365"/>
      <c r="B13" s="317" t="s">
        <v>108</v>
      </c>
      <c r="C13" s="328" t="s">
        <v>215</v>
      </c>
      <c r="D13" s="328" t="s">
        <v>215</v>
      </c>
      <c r="E13" s="328" t="s">
        <v>215</v>
      </c>
      <c r="F13" s="328">
        <f>+((F11/C11)^(1/3)-1)</f>
        <v>0.5698495433773838</v>
      </c>
      <c r="G13" s="328"/>
      <c r="H13" s="274"/>
      <c r="I13" s="280"/>
      <c r="J13" s="391"/>
      <c r="K13" s="391"/>
      <c r="L13" s="391"/>
      <c r="M13" s="391"/>
      <c r="N13" s="391"/>
    </row>
    <row r="14" spans="1:23" customFormat="1" ht="15" customHeight="1">
      <c r="A14" s="365"/>
      <c r="B14" s="318" t="s">
        <v>5</v>
      </c>
      <c r="C14" s="319">
        <f>(C11/C4)</f>
        <v>0.16410667434768725</v>
      </c>
      <c r="D14" s="319">
        <f>(D11/D4)</f>
        <v>0.19146129563421674</v>
      </c>
      <c r="E14" s="319">
        <f>(E11/E4)</f>
        <v>0.16000789565944953</v>
      </c>
      <c r="F14" s="319">
        <f>(F11/F4)</f>
        <v>0.19593493892552988</v>
      </c>
      <c r="G14" s="319">
        <f>(G11/G4)</f>
        <v>0.20285262840806403</v>
      </c>
      <c r="H14" s="274"/>
      <c r="I14" s="280" t="s">
        <v>87</v>
      </c>
      <c r="J14" s="394"/>
      <c r="K14" s="394"/>
      <c r="L14" s="394"/>
      <c r="M14" s="394"/>
      <c r="N14" s="394"/>
    </row>
    <row r="15" spans="1:23" customFormat="1" ht="15" customHeight="1">
      <c r="A15" s="365"/>
      <c r="B15" s="280" t="s">
        <v>6</v>
      </c>
      <c r="C15" s="277">
        <v>0.94499999999999995</v>
      </c>
      <c r="D15" s="277">
        <v>2.1669999999999998</v>
      </c>
      <c r="E15" s="277">
        <v>3.4940000000000002</v>
      </c>
      <c r="F15" s="277">
        <v>15.651999999999999</v>
      </c>
      <c r="G15" s="277">
        <v>9.9149999999999991</v>
      </c>
      <c r="H15" s="274"/>
      <c r="I15" s="289" t="s">
        <v>101</v>
      </c>
      <c r="J15" s="392">
        <f>SUM(J16:J23)</f>
        <v>0.83599999999999997</v>
      </c>
      <c r="K15" s="392">
        <f>SUM(K16:K23)</f>
        <v>1.0980000000000001</v>
      </c>
      <c r="L15" s="392">
        <f>SUM(L16:L23)</f>
        <v>2.3E-2</v>
      </c>
      <c r="M15" s="392">
        <f>SUM(M16:M23)</f>
        <v>8.952</v>
      </c>
      <c r="N15" s="392">
        <f>SUM(N16:N23)</f>
        <v>13.351000000000001</v>
      </c>
    </row>
    <row r="16" spans="1:23" customFormat="1" ht="15" customHeight="1">
      <c r="A16" s="365"/>
      <c r="B16" s="280" t="s">
        <v>7</v>
      </c>
      <c r="C16" s="277">
        <v>6.8000000000000005E-2</v>
      </c>
      <c r="D16" s="277">
        <v>5.0999999999999997E-2</v>
      </c>
      <c r="E16" s="277">
        <v>0.11</v>
      </c>
      <c r="F16" s="277">
        <v>4.2999999999999997E-2</v>
      </c>
      <c r="G16" s="277">
        <v>8.2000000000000003E-2</v>
      </c>
      <c r="H16" s="274"/>
      <c r="I16" s="280" t="s">
        <v>96</v>
      </c>
      <c r="J16" s="391">
        <v>0.13200000000000001</v>
      </c>
      <c r="K16" s="391">
        <v>0.224</v>
      </c>
      <c r="L16" s="391">
        <v>2.3E-2</v>
      </c>
      <c r="M16" s="391">
        <v>0.23899999999999999</v>
      </c>
      <c r="N16" s="391">
        <v>0.157</v>
      </c>
    </row>
    <row r="17" spans="1:14" customFormat="1" ht="15" customHeight="1">
      <c r="A17" s="365"/>
      <c r="B17" s="280" t="s">
        <v>8</v>
      </c>
      <c r="C17" s="277">
        <v>0.23</v>
      </c>
      <c r="D17" s="277">
        <v>0.13600000000000001</v>
      </c>
      <c r="E17" s="277">
        <v>0.46100000000000002</v>
      </c>
      <c r="F17" s="277">
        <v>1.3380000000000001</v>
      </c>
      <c r="G17" s="277">
        <v>1.84</v>
      </c>
      <c r="H17" s="274"/>
      <c r="I17" s="280" t="s">
        <v>223</v>
      </c>
      <c r="J17" s="391">
        <v>0</v>
      </c>
      <c r="K17" s="391">
        <v>0</v>
      </c>
      <c r="L17" s="391">
        <v>0</v>
      </c>
      <c r="M17" s="391">
        <v>0</v>
      </c>
      <c r="N17" s="391">
        <v>0</v>
      </c>
    </row>
    <row r="18" spans="1:14" customFormat="1" ht="15" customHeight="1">
      <c r="A18" s="365"/>
      <c r="B18" s="289" t="s">
        <v>10</v>
      </c>
      <c r="C18" s="290">
        <f>(C11+C15-C16-C17)</f>
        <v>26.854999999999997</v>
      </c>
      <c r="D18" s="290">
        <f>(D11+D15-D16-D17)</f>
        <v>44.07200000000001</v>
      </c>
      <c r="E18" s="290">
        <f>(E11+E15-E16-E17)</f>
        <v>57.23399999999998</v>
      </c>
      <c r="F18" s="290">
        <f>(F11+F15-F16-F17)</f>
        <v>115.66399999999997</v>
      </c>
      <c r="G18" s="290">
        <f>(G11+G15-G16-G17)</f>
        <v>79.374000000000024</v>
      </c>
      <c r="H18" s="274"/>
      <c r="I18" s="280" t="s">
        <v>166</v>
      </c>
      <c r="J18" s="391">
        <v>0</v>
      </c>
      <c r="K18" s="391">
        <v>0</v>
      </c>
      <c r="L18" s="391">
        <v>0</v>
      </c>
      <c r="M18" s="391">
        <v>8.7129999999999992</v>
      </c>
      <c r="N18" s="391">
        <v>13.194000000000001</v>
      </c>
    </row>
    <row r="19" spans="1:14" customFormat="1" ht="15" customHeight="1">
      <c r="A19" s="365"/>
      <c r="B19" s="280" t="s">
        <v>11</v>
      </c>
      <c r="C19" s="277">
        <f>6.228-0.138</f>
        <v>6.09</v>
      </c>
      <c r="D19" s="277">
        <f>10.176-0.17</f>
        <v>10.006</v>
      </c>
      <c r="E19" s="277">
        <f>14.055+0.321+0.291</f>
        <v>14.667</v>
      </c>
      <c r="F19" s="277">
        <f>27.951+0.869+1.164</f>
        <v>29.984000000000002</v>
      </c>
      <c r="G19" s="277">
        <f>G18-G21</f>
        <v>19.993000000000023</v>
      </c>
      <c r="H19" s="274"/>
      <c r="I19" s="280" t="s">
        <v>92</v>
      </c>
      <c r="J19" s="391"/>
      <c r="K19" s="391"/>
      <c r="L19" s="391"/>
      <c r="M19" s="391"/>
      <c r="N19" s="391"/>
    </row>
    <row r="20" spans="1:14" customFormat="1" ht="15" customHeight="1">
      <c r="A20" s="365"/>
      <c r="B20" s="315" t="s">
        <v>12</v>
      </c>
      <c r="C20" s="316">
        <f>(C19/C18)</f>
        <v>0.22677341277229568</v>
      </c>
      <c r="D20" s="316">
        <f>(D19/D18)</f>
        <v>0.22703757487747317</v>
      </c>
      <c r="E20" s="316">
        <f>(E19/E18)</f>
        <v>0.25626375930391032</v>
      </c>
      <c r="F20" s="316">
        <f>(F19/F18)</f>
        <v>0.25923364227417356</v>
      </c>
      <c r="G20" s="316">
        <f>(G19/G18)</f>
        <v>0.25188348829591578</v>
      </c>
      <c r="H20" s="274"/>
      <c r="I20" s="280" t="s">
        <v>167</v>
      </c>
      <c r="J20" s="391"/>
      <c r="K20" s="391"/>
      <c r="L20" s="391"/>
      <c r="M20" s="391"/>
      <c r="N20" s="391"/>
    </row>
    <row r="21" spans="1:14" customFormat="1" ht="15" customHeight="1">
      <c r="A21" s="365"/>
      <c r="B21" s="291" t="s">
        <v>13</v>
      </c>
      <c r="C21" s="290">
        <f>(C18-C19)</f>
        <v>20.764999999999997</v>
      </c>
      <c r="D21" s="290">
        <f>(D18-D19)</f>
        <v>34.06600000000001</v>
      </c>
      <c r="E21" s="290">
        <f>(E18-E19)</f>
        <v>42.566999999999979</v>
      </c>
      <c r="F21" s="290">
        <f>(F18-F19)</f>
        <v>85.679999999999978</v>
      </c>
      <c r="G21" s="290">
        <v>59.381</v>
      </c>
      <c r="H21" s="274"/>
      <c r="I21" s="280" t="s">
        <v>168</v>
      </c>
      <c r="J21" s="391"/>
      <c r="K21" s="391"/>
      <c r="L21" s="391"/>
      <c r="M21" s="391"/>
      <c r="N21" s="391"/>
    </row>
    <row r="22" spans="1:14" customFormat="1" ht="15" customHeight="1">
      <c r="A22" s="365"/>
      <c r="B22" s="318" t="s">
        <v>80</v>
      </c>
      <c r="C22" s="323">
        <f>C21/(C4)</f>
        <v>0.13002423278501699</v>
      </c>
      <c r="D22" s="323">
        <f>D21/(D4)</f>
        <v>0.15495392229105834</v>
      </c>
      <c r="E22" s="323">
        <f>E21/(E4)</f>
        <v>0.12540840887731375</v>
      </c>
      <c r="F22" s="323">
        <f>F21/(F4)</f>
        <v>0.16557065642736088</v>
      </c>
      <c r="G22" s="323">
        <f>G21/(G4)</f>
        <v>0.16875067493449583</v>
      </c>
      <c r="H22" s="274"/>
      <c r="I22" s="280" t="s">
        <v>169</v>
      </c>
      <c r="J22" s="391">
        <v>0.70399999999999996</v>
      </c>
      <c r="K22" s="391">
        <v>0.874</v>
      </c>
      <c r="L22" s="395" t="s">
        <v>209</v>
      </c>
      <c r="M22" s="395" t="s">
        <v>209</v>
      </c>
      <c r="N22" s="395" t="s">
        <v>209</v>
      </c>
    </row>
    <row r="23" spans="1:14" customFormat="1" ht="15" customHeight="1">
      <c r="A23" s="365"/>
      <c r="B23" s="317" t="s">
        <v>108</v>
      </c>
      <c r="C23" s="316"/>
      <c r="D23" s="316"/>
      <c r="E23" s="316"/>
      <c r="F23" s="316">
        <f>+((F21/C21)^(1/3)-1)</f>
        <v>0.60391927844489346</v>
      </c>
      <c r="G23" s="316"/>
      <c r="H23" s="274"/>
      <c r="I23" s="280" t="s">
        <v>93</v>
      </c>
      <c r="J23" s="391">
        <v>0</v>
      </c>
      <c r="K23" s="391">
        <v>0</v>
      </c>
      <c r="L23" s="396">
        <v>0</v>
      </c>
      <c r="M23" s="396"/>
      <c r="N23" s="396"/>
    </row>
    <row r="24" spans="1:14" customFormat="1" ht="15" customHeight="1">
      <c r="A24" s="365"/>
      <c r="B24" s="279" t="s">
        <v>16</v>
      </c>
      <c r="C24" s="282">
        <v>2.78</v>
      </c>
      <c r="D24" s="282">
        <v>4.5599999999999996</v>
      </c>
      <c r="E24" s="282">
        <v>4.58</v>
      </c>
      <c r="F24" s="282">
        <v>8.83</v>
      </c>
      <c r="G24" s="282">
        <v>6.12</v>
      </c>
      <c r="H24" s="274"/>
      <c r="I24" s="280"/>
      <c r="J24" s="391"/>
      <c r="K24" s="391"/>
      <c r="L24" s="396"/>
      <c r="M24" s="396"/>
      <c r="N24" s="396"/>
    </row>
    <row r="25" spans="1:14" customFormat="1" ht="15" customHeight="1">
      <c r="A25" s="365"/>
      <c r="B25" s="324" t="s">
        <v>2</v>
      </c>
      <c r="C25" s="329" t="s">
        <v>215</v>
      </c>
      <c r="D25" s="329">
        <f>(D24/C24-1)</f>
        <v>0.64028776978417268</v>
      </c>
      <c r="E25" s="329">
        <f>(E24/D24-1)</f>
        <v>4.3859649122808264E-3</v>
      </c>
      <c r="F25" s="329">
        <f>(F24/E24-1)</f>
        <v>0.927947598253275</v>
      </c>
      <c r="G25" s="329"/>
      <c r="H25" s="274"/>
      <c r="I25" s="289" t="s">
        <v>44</v>
      </c>
      <c r="J25" s="392">
        <f>SUM(J26:J33)</f>
        <v>84.037999999999982</v>
      </c>
      <c r="K25" s="392">
        <f>SUM(K26:K33)</f>
        <v>117.03400000000001</v>
      </c>
      <c r="L25" s="392">
        <f>SUM(L26:L33)</f>
        <v>160.30200000000002</v>
      </c>
      <c r="M25" s="392">
        <f>SUM(M26:M33)</f>
        <v>458.91900000000004</v>
      </c>
      <c r="N25" s="392">
        <f>SUM(N26:N33)</f>
        <v>526.10800000000006</v>
      </c>
    </row>
    <row r="26" spans="1:14" customFormat="1" ht="15" customHeight="1" thickBot="1">
      <c r="A26" s="365"/>
      <c r="B26" s="292" t="s">
        <v>108</v>
      </c>
      <c r="C26" s="330" t="s">
        <v>215</v>
      </c>
      <c r="D26" s="330" t="s">
        <v>215</v>
      </c>
      <c r="E26" s="330" t="s">
        <v>215</v>
      </c>
      <c r="F26" s="330">
        <f>+((F24/C24)^(1/3)-1)</f>
        <v>0.46995927398944293</v>
      </c>
      <c r="G26" s="330"/>
      <c r="H26" s="274"/>
      <c r="I26" s="280" t="s">
        <v>92</v>
      </c>
      <c r="J26" s="391"/>
      <c r="K26" s="391"/>
      <c r="L26" s="391"/>
      <c r="M26" s="391"/>
      <c r="N26" s="391"/>
    </row>
    <row r="27" spans="1:14" customFormat="1" ht="15" customHeight="1">
      <c r="A27" s="365"/>
      <c r="B27" s="366"/>
      <c r="C27" s="367"/>
      <c r="D27" s="367"/>
      <c r="E27" s="365"/>
      <c r="F27" s="368"/>
      <c r="G27" s="278"/>
      <c r="H27" s="274"/>
      <c r="I27" s="280" t="s">
        <v>178</v>
      </c>
      <c r="J27" s="391"/>
      <c r="K27" s="391"/>
      <c r="L27" s="397" t="s">
        <v>209</v>
      </c>
      <c r="M27" s="397" t="s">
        <v>209</v>
      </c>
      <c r="N27" s="397" t="s">
        <v>209</v>
      </c>
    </row>
    <row r="28" spans="1:14" customFormat="1" ht="15" customHeight="1" thickBot="1">
      <c r="A28" s="365"/>
      <c r="B28" s="369"/>
      <c r="C28" s="365"/>
      <c r="D28" s="365"/>
      <c r="E28" s="365"/>
      <c r="F28" s="368"/>
      <c r="G28" s="352"/>
      <c r="H28" s="274"/>
      <c r="I28" s="280" t="s">
        <v>160</v>
      </c>
      <c r="J28" s="391">
        <v>37.793999999999997</v>
      </c>
      <c r="K28" s="391">
        <v>55.024999999999999</v>
      </c>
      <c r="L28" s="391">
        <v>59.384999999999998</v>
      </c>
      <c r="M28" s="391">
        <v>110.22499999999999</v>
      </c>
      <c r="N28" s="391">
        <v>137.68100000000001</v>
      </c>
    </row>
    <row r="29" spans="1:14" customFormat="1" ht="15" customHeight="1" thickBot="1">
      <c r="A29" s="365"/>
      <c r="B29" s="373" t="s">
        <v>102</v>
      </c>
      <c r="C29" s="373"/>
      <c r="D29" s="373"/>
      <c r="E29" s="373"/>
      <c r="F29" s="373"/>
      <c r="G29" s="373"/>
      <c r="H29" s="274"/>
      <c r="I29" s="280" t="s">
        <v>157</v>
      </c>
      <c r="J29" s="391">
        <v>34.305</v>
      </c>
      <c r="K29" s="391">
        <v>40.197000000000003</v>
      </c>
      <c r="L29" s="391">
        <v>62.734999999999999</v>
      </c>
      <c r="M29" s="391">
        <v>312.096</v>
      </c>
      <c r="N29" s="391">
        <v>355.82799999999997</v>
      </c>
    </row>
    <row r="30" spans="1:14" customFormat="1" ht="15" customHeight="1">
      <c r="A30" s="365"/>
      <c r="B30" s="334" t="s">
        <v>0</v>
      </c>
      <c r="C30" s="335" t="s">
        <v>211</v>
      </c>
      <c r="D30" s="335" t="s">
        <v>216</v>
      </c>
      <c r="E30" s="335" t="s">
        <v>217</v>
      </c>
      <c r="F30" s="303" t="s">
        <v>218</v>
      </c>
      <c r="G30" s="336" t="s">
        <v>224</v>
      </c>
      <c r="H30" s="274"/>
      <c r="I30" s="280" t="s">
        <v>158</v>
      </c>
      <c r="J30" s="391"/>
      <c r="K30" s="391"/>
      <c r="L30" s="398" t="s">
        <v>209</v>
      </c>
      <c r="M30" s="398" t="s">
        <v>209</v>
      </c>
      <c r="N30" s="398" t="s">
        <v>209</v>
      </c>
    </row>
    <row r="31" spans="1:14" customFormat="1" ht="15" customHeight="1">
      <c r="A31" s="365"/>
      <c r="B31" s="279" t="s">
        <v>17</v>
      </c>
      <c r="C31" s="283">
        <v>14.901</v>
      </c>
      <c r="D31" s="283">
        <v>34.305</v>
      </c>
      <c r="E31" s="284">
        <v>39.386000000000003</v>
      </c>
      <c r="F31" s="284">
        <f>E36</f>
        <v>62.734999999999999</v>
      </c>
      <c r="G31" s="284">
        <f>M29</f>
        <v>312.096</v>
      </c>
      <c r="H31" s="274"/>
      <c r="I31" s="280" t="s">
        <v>170</v>
      </c>
      <c r="J31" s="391"/>
      <c r="K31" s="391"/>
      <c r="L31" s="398" t="s">
        <v>209</v>
      </c>
      <c r="M31" s="398" t="s">
        <v>209</v>
      </c>
      <c r="N31" s="398" t="s">
        <v>209</v>
      </c>
    </row>
    <row r="32" spans="1:14" customFormat="1" ht="15" customHeight="1">
      <c r="A32" s="365"/>
      <c r="B32" s="280" t="s">
        <v>18</v>
      </c>
      <c r="C32" s="271">
        <v>18.779</v>
      </c>
      <c r="D32" s="271">
        <v>5.17</v>
      </c>
      <c r="E32" s="285">
        <v>26.687000000000001</v>
      </c>
      <c r="F32" s="285">
        <v>91.602000000000004</v>
      </c>
      <c r="G32" s="285">
        <v>48.22</v>
      </c>
      <c r="H32" s="274"/>
      <c r="I32" s="280" t="s">
        <v>171</v>
      </c>
      <c r="J32" s="391"/>
      <c r="K32" s="391"/>
      <c r="L32" s="398" t="s">
        <v>209</v>
      </c>
      <c r="M32" s="398" t="s">
        <v>209</v>
      </c>
      <c r="N32" s="398" t="s">
        <v>209</v>
      </c>
    </row>
    <row r="33" spans="1:14" customFormat="1" ht="15" customHeight="1">
      <c r="A33" s="365"/>
      <c r="B33" s="280" t="s">
        <v>79</v>
      </c>
      <c r="C33" s="271">
        <v>0.625</v>
      </c>
      <c r="D33" s="271">
        <v>0.72199999999999998</v>
      </c>
      <c r="E33" s="285">
        <v>-3.3380000000000001</v>
      </c>
      <c r="F33" s="285">
        <v>-10.571999999999999</v>
      </c>
      <c r="G33" s="285">
        <v>-4.4809999999999999</v>
      </c>
      <c r="H33" s="274"/>
      <c r="I33" s="280" t="s">
        <v>97</v>
      </c>
      <c r="J33" s="391">
        <v>11.939</v>
      </c>
      <c r="K33" s="391">
        <v>21.812000000000001</v>
      </c>
      <c r="L33" s="391">
        <v>38.182000000000002</v>
      </c>
      <c r="M33" s="391">
        <v>36.597999999999999</v>
      </c>
      <c r="N33" s="391">
        <v>32.598999999999997</v>
      </c>
    </row>
    <row r="34" spans="1:14" customFormat="1" ht="15" customHeight="1">
      <c r="A34" s="365"/>
      <c r="B34" s="280" t="s">
        <v>19</v>
      </c>
      <c r="C34" s="271">
        <v>0</v>
      </c>
      <c r="D34" s="285">
        <v>0</v>
      </c>
      <c r="E34" s="285">
        <v>0</v>
      </c>
      <c r="F34" s="285">
        <v>168.33199999999999</v>
      </c>
      <c r="G34" s="285"/>
      <c r="H34" s="274"/>
      <c r="I34" s="280"/>
      <c r="J34" s="391"/>
      <c r="K34" s="391"/>
      <c r="L34" s="396"/>
      <c r="M34" s="396"/>
      <c r="N34" s="396"/>
    </row>
    <row r="35" spans="1:14" customFormat="1" ht="15" customHeight="1">
      <c r="A35" s="365"/>
      <c r="B35" s="294" t="s">
        <v>20</v>
      </c>
      <c r="C35" s="350">
        <f>C32+C33+C34</f>
        <v>19.404</v>
      </c>
      <c r="D35" s="350">
        <f>D32+D33+D34</f>
        <v>5.8919999999999995</v>
      </c>
      <c r="E35" s="350">
        <f>E32+E33+E34</f>
        <v>23.349</v>
      </c>
      <c r="F35" s="350">
        <f>F32+F33+F34</f>
        <v>249.36199999999999</v>
      </c>
      <c r="G35" s="350">
        <f>G32+G33+G34</f>
        <v>43.738999999999997</v>
      </c>
      <c r="H35" s="272"/>
      <c r="I35" s="289" t="s">
        <v>46</v>
      </c>
      <c r="J35" s="392">
        <f>SUM(J36:J41)</f>
        <v>12.214</v>
      </c>
      <c r="K35" s="392">
        <f>SUM(K36:K41)</f>
        <v>9.6920000000000002</v>
      </c>
      <c r="L35" s="392">
        <f>SUM(L36:L41)</f>
        <v>32.4</v>
      </c>
      <c r="M35" s="392">
        <f>SUM(M36:M41)</f>
        <v>50.585000000000001</v>
      </c>
      <c r="N35" s="392">
        <f>SUM(N36:N41)</f>
        <v>58.709000000000003</v>
      </c>
    </row>
    <row r="36" spans="1:14" customFormat="1" ht="15" customHeight="1" thickBot="1">
      <c r="A36" s="365"/>
      <c r="B36" s="295" t="s">
        <v>72</v>
      </c>
      <c r="C36" s="351">
        <f>C31+C35</f>
        <v>34.305</v>
      </c>
      <c r="D36" s="351">
        <f>D31+D35</f>
        <v>40.197000000000003</v>
      </c>
      <c r="E36" s="351">
        <f>E31+E35</f>
        <v>62.734999999999999</v>
      </c>
      <c r="F36" s="351">
        <f>F31+F35</f>
        <v>312.09699999999998</v>
      </c>
      <c r="G36" s="351">
        <f>G31+G35</f>
        <v>355.83499999999998</v>
      </c>
      <c r="H36" s="272"/>
      <c r="I36" s="280" t="s">
        <v>172</v>
      </c>
      <c r="J36" s="391">
        <v>0</v>
      </c>
      <c r="K36" s="391">
        <v>0</v>
      </c>
      <c r="L36" s="391">
        <v>0</v>
      </c>
      <c r="M36" s="391"/>
      <c r="N36" s="391"/>
    </row>
    <row r="37" spans="1:14" customFormat="1" ht="15" customHeight="1" thickBot="1">
      <c r="A37" s="365"/>
      <c r="B37" s="370"/>
      <c r="C37" s="370"/>
      <c r="D37" s="370"/>
      <c r="E37" s="370"/>
      <c r="F37" s="370"/>
      <c r="G37" s="278"/>
      <c r="H37" s="272"/>
      <c r="I37" s="280" t="s">
        <v>82</v>
      </c>
      <c r="J37" s="391">
        <v>5.7869999999999999</v>
      </c>
      <c r="K37" s="391">
        <v>2.6869999999999998</v>
      </c>
      <c r="L37" s="391">
        <v>7.2930000000000001</v>
      </c>
      <c r="M37" s="391">
        <v>7.2190000000000003</v>
      </c>
      <c r="N37" s="391">
        <v>7.4720000000000004</v>
      </c>
    </row>
    <row r="38" spans="1:14" customFormat="1" ht="15" customHeight="1">
      <c r="A38" s="365"/>
      <c r="B38" s="302" t="s">
        <v>21</v>
      </c>
      <c r="C38" s="303" t="s">
        <v>211</v>
      </c>
      <c r="D38" s="303" t="s">
        <v>216</v>
      </c>
      <c r="E38" s="303" t="s">
        <v>217</v>
      </c>
      <c r="F38" s="303" t="s">
        <v>218</v>
      </c>
      <c r="G38" s="337" t="s">
        <v>224</v>
      </c>
      <c r="H38" s="272"/>
      <c r="I38" s="280" t="s">
        <v>83</v>
      </c>
      <c r="J38" s="391"/>
      <c r="K38" s="391"/>
      <c r="L38" s="391"/>
      <c r="M38" s="391"/>
      <c r="N38" s="391"/>
    </row>
    <row r="39" spans="1:14" customFormat="1" ht="15" customHeight="1">
      <c r="A39" s="365"/>
      <c r="B39" s="279" t="s">
        <v>222</v>
      </c>
      <c r="C39" s="325">
        <f>C32</f>
        <v>18.779</v>
      </c>
      <c r="D39" s="325">
        <f>D32</f>
        <v>5.17</v>
      </c>
      <c r="E39" s="325">
        <f>E32</f>
        <v>26.687000000000001</v>
      </c>
      <c r="F39" s="325">
        <f>F32</f>
        <v>91.602000000000004</v>
      </c>
      <c r="G39" s="325">
        <f>G32</f>
        <v>48.22</v>
      </c>
      <c r="H39" s="274"/>
      <c r="I39" s="280" t="s">
        <v>78</v>
      </c>
      <c r="J39" s="391">
        <v>6.3620000000000001</v>
      </c>
      <c r="K39" s="391">
        <v>6.3449999999999998</v>
      </c>
      <c r="L39" s="391">
        <v>10.926</v>
      </c>
      <c r="M39" s="391">
        <v>15.146000000000001</v>
      </c>
      <c r="N39" s="391">
        <v>30.347000000000001</v>
      </c>
    </row>
    <row r="40" spans="1:14" customFormat="1" ht="15" customHeight="1">
      <c r="A40" s="365"/>
      <c r="B40" s="280" t="s">
        <v>28</v>
      </c>
      <c r="C40" s="326">
        <v>8.2000000000000003E-2</v>
      </c>
      <c r="D40" s="326">
        <v>0.14299999999999999</v>
      </c>
      <c r="E40" s="326">
        <v>0</v>
      </c>
      <c r="F40" s="326">
        <f>0.259+8.713+1.6</f>
        <v>10.571999999999999</v>
      </c>
      <c r="G40" s="326">
        <v>4.4809999999999999</v>
      </c>
      <c r="H40" s="274"/>
      <c r="I40" s="280" t="s">
        <v>173</v>
      </c>
      <c r="J40" s="391">
        <v>0</v>
      </c>
      <c r="K40" s="391">
        <v>0</v>
      </c>
      <c r="L40" s="391">
        <v>0</v>
      </c>
      <c r="M40" s="391"/>
      <c r="N40" s="391"/>
    </row>
    <row r="41" spans="1:14" customFormat="1" ht="15" customHeight="1" thickBot="1">
      <c r="A41" s="365"/>
      <c r="B41" s="304" t="s">
        <v>29</v>
      </c>
      <c r="C41" s="327">
        <f>C39-C40</f>
        <v>18.696999999999999</v>
      </c>
      <c r="D41" s="327">
        <f t="shared" ref="D41:E41" si="0">D39-D40</f>
        <v>5.0270000000000001</v>
      </c>
      <c r="E41" s="327">
        <f t="shared" si="0"/>
        <v>26.687000000000001</v>
      </c>
      <c r="F41" s="327">
        <f>F39-F40</f>
        <v>81.03</v>
      </c>
      <c r="G41" s="327">
        <f t="shared" ref="G41" si="1">G39-G40</f>
        <v>43.738999999999997</v>
      </c>
      <c r="H41" s="274"/>
      <c r="I41" s="280" t="s">
        <v>70</v>
      </c>
      <c r="J41" s="391">
        <v>6.5000000000000002E-2</v>
      </c>
      <c r="K41" s="391">
        <v>0.66</v>
      </c>
      <c r="L41" s="391">
        <v>14.180999999999999</v>
      </c>
      <c r="M41" s="391">
        <v>28.22</v>
      </c>
      <c r="N41" s="391">
        <v>20.89</v>
      </c>
    </row>
    <row r="42" spans="1:14" customFormat="1" ht="15" customHeight="1">
      <c r="A42" s="365"/>
      <c r="B42" s="367"/>
      <c r="C42" s="367"/>
      <c r="D42" s="367"/>
      <c r="E42" s="367"/>
      <c r="F42" s="367"/>
      <c r="G42" s="278"/>
      <c r="H42" s="274"/>
      <c r="I42" s="280"/>
      <c r="J42" s="391"/>
      <c r="K42" s="391"/>
      <c r="L42" s="391"/>
      <c r="M42" s="391"/>
      <c r="N42" s="391"/>
    </row>
    <row r="43" spans="1:14" customFormat="1" ht="15" customHeight="1" thickBot="1">
      <c r="A43" s="365"/>
      <c r="B43" s="365"/>
      <c r="C43" s="365"/>
      <c r="D43" s="365"/>
      <c r="E43" s="365"/>
      <c r="F43" s="365"/>
      <c r="G43" s="278"/>
      <c r="H43" s="274"/>
      <c r="I43" s="289" t="s">
        <v>47</v>
      </c>
      <c r="J43" s="392">
        <f>(J25-J35-J9)</f>
        <v>71.823999999999984</v>
      </c>
      <c r="K43" s="392">
        <f>(K25-K35-K9)</f>
        <v>107.34200000000001</v>
      </c>
      <c r="L43" s="392">
        <f>(L25-L35-L9)</f>
        <v>127.90200000000002</v>
      </c>
      <c r="M43" s="392">
        <f>(M25-M35-M9)</f>
        <v>408.33400000000006</v>
      </c>
      <c r="N43" s="392">
        <f>(N25-N35-N9)</f>
        <v>467.39900000000006</v>
      </c>
    </row>
    <row r="44" spans="1:14" customFormat="1" ht="15" customHeight="1">
      <c r="A44" s="365"/>
      <c r="B44" s="302" t="s">
        <v>21</v>
      </c>
      <c r="C44" s="343" t="s">
        <v>211</v>
      </c>
      <c r="D44" s="343" t="s">
        <v>216</v>
      </c>
      <c r="E44" s="343" t="s">
        <v>217</v>
      </c>
      <c r="F44" s="343" t="s">
        <v>218</v>
      </c>
      <c r="G44" s="344" t="s">
        <v>224</v>
      </c>
      <c r="H44" s="274"/>
      <c r="I44" s="289" t="s">
        <v>221</v>
      </c>
      <c r="J44" s="392">
        <f>J8+SUM(J45:J49)</f>
        <v>2.4129999999999998</v>
      </c>
      <c r="K44" s="392">
        <f>K8+SUM(K45:K49)</f>
        <v>4.1269999999999998</v>
      </c>
      <c r="L44" s="392">
        <f>L8+SUM(L45:L49)</f>
        <v>1.704</v>
      </c>
      <c r="M44" s="392">
        <f>M8+SUM(M45:M49)</f>
        <v>3.4260000000000002</v>
      </c>
      <c r="N44" s="392">
        <f>N8+SUM(N45:N49)</f>
        <v>6.0380000000000003</v>
      </c>
    </row>
    <row r="45" spans="1:14" customFormat="1" ht="15" customHeight="1">
      <c r="A45" s="365"/>
      <c r="B45" s="280" t="s">
        <v>73</v>
      </c>
      <c r="C45" s="338">
        <v>13436</v>
      </c>
      <c r="D45" s="338">
        <v>13436</v>
      </c>
      <c r="E45" s="339">
        <v>7466904</v>
      </c>
      <c r="F45" s="340">
        <v>9690904</v>
      </c>
      <c r="G45" s="340">
        <v>9690904</v>
      </c>
      <c r="H45" s="274"/>
      <c r="I45" s="280" t="s">
        <v>48</v>
      </c>
      <c r="J45" s="391">
        <v>0</v>
      </c>
      <c r="K45" s="391"/>
      <c r="L45" s="391">
        <v>0.17100000000000001</v>
      </c>
      <c r="M45" s="391">
        <v>1.3340000000000001</v>
      </c>
      <c r="N45" s="391">
        <v>0.80400000000000005</v>
      </c>
    </row>
    <row r="46" spans="1:14" customFormat="1" ht="15" customHeight="1">
      <c r="A46" s="365"/>
      <c r="B46" s="280" t="s">
        <v>74</v>
      </c>
      <c r="C46" s="341" t="s">
        <v>215</v>
      </c>
      <c r="D46" s="341" t="s">
        <v>215</v>
      </c>
      <c r="E46" s="341" t="s">
        <v>215</v>
      </c>
      <c r="F46" s="325">
        <f>F45*M56/1000000</f>
        <v>1855.3235708</v>
      </c>
      <c r="G46" s="325">
        <f>G45*N56/1000000</f>
        <v>2827.8057872000004</v>
      </c>
      <c r="H46" s="274"/>
      <c r="I46" s="280" t="s">
        <v>174</v>
      </c>
      <c r="J46" s="391">
        <v>0</v>
      </c>
      <c r="K46" s="391">
        <v>0</v>
      </c>
      <c r="L46" s="391">
        <v>0</v>
      </c>
      <c r="M46" s="391"/>
      <c r="N46" s="391"/>
    </row>
    <row r="47" spans="1:14" customFormat="1" ht="15" customHeight="1">
      <c r="A47" s="365"/>
      <c r="B47" s="280" t="s">
        <v>77</v>
      </c>
      <c r="C47" s="400">
        <f>J8</f>
        <v>0</v>
      </c>
      <c r="D47" s="400">
        <f>K8</f>
        <v>0</v>
      </c>
      <c r="E47" s="401">
        <f>L8</f>
        <v>0</v>
      </c>
      <c r="F47" s="401">
        <f t="shared" ref="F47:G47" si="2">M8</f>
        <v>0</v>
      </c>
      <c r="G47" s="401">
        <f t="shared" si="2"/>
        <v>0</v>
      </c>
      <c r="H47" s="274"/>
      <c r="I47" s="280" t="s">
        <v>83</v>
      </c>
      <c r="J47" s="391"/>
      <c r="K47" s="391"/>
      <c r="L47" s="391"/>
      <c r="M47" s="391"/>
      <c r="N47" s="391"/>
    </row>
    <row r="48" spans="1:14" customFormat="1" ht="15" customHeight="1">
      <c r="A48" s="365"/>
      <c r="B48" s="280" t="s">
        <v>75</v>
      </c>
      <c r="C48" s="326">
        <f>J29</f>
        <v>34.305</v>
      </c>
      <c r="D48" s="326">
        <f>K29</f>
        <v>40.197000000000003</v>
      </c>
      <c r="E48" s="342">
        <f>L29</f>
        <v>62.734999999999999</v>
      </c>
      <c r="F48" s="342">
        <f>M29</f>
        <v>312.096</v>
      </c>
      <c r="G48" s="342">
        <f>N29</f>
        <v>355.82799999999997</v>
      </c>
      <c r="H48" s="274"/>
      <c r="I48" s="280" t="s">
        <v>106</v>
      </c>
      <c r="J48" s="391">
        <v>2.4129999999999998</v>
      </c>
      <c r="K48" s="391">
        <v>4.1269999999999998</v>
      </c>
      <c r="L48" s="391">
        <v>1.5329999999999999</v>
      </c>
      <c r="M48" s="391">
        <v>2.0920000000000001</v>
      </c>
      <c r="N48" s="391">
        <v>5.234</v>
      </c>
    </row>
    <row r="49" spans="1:19" customFormat="1" ht="15" customHeight="1" thickBot="1">
      <c r="A49" s="365"/>
      <c r="B49" s="292" t="s">
        <v>76</v>
      </c>
      <c r="C49" s="345" t="s">
        <v>215</v>
      </c>
      <c r="D49" s="345" t="s">
        <v>215</v>
      </c>
      <c r="E49" s="345" t="s">
        <v>215</v>
      </c>
      <c r="F49" s="346">
        <f>F47-F48+F46</f>
        <v>1543.2275708</v>
      </c>
      <c r="G49" s="346">
        <f>G47-G48+G46</f>
        <v>2471.9777872000004</v>
      </c>
      <c r="H49" s="274"/>
      <c r="I49" s="280" t="s">
        <v>161</v>
      </c>
      <c r="J49" s="391">
        <v>0</v>
      </c>
      <c r="K49" s="391">
        <v>0</v>
      </c>
      <c r="L49" s="391">
        <v>0</v>
      </c>
      <c r="M49" s="391"/>
      <c r="N49" s="391"/>
    </row>
    <row r="50" spans="1:19" customFormat="1" ht="15" customHeight="1">
      <c r="A50" s="365"/>
      <c r="B50" s="278"/>
      <c r="C50" s="278"/>
      <c r="D50" s="278"/>
      <c r="E50" s="278"/>
      <c r="F50" s="278"/>
      <c r="G50" s="278"/>
      <c r="H50" s="274"/>
      <c r="I50" s="289" t="s">
        <v>88</v>
      </c>
      <c r="J50" s="392">
        <f>J15+J25</f>
        <v>84.873999999999981</v>
      </c>
      <c r="K50" s="392">
        <f>K15+K25</f>
        <v>118.13200000000001</v>
      </c>
      <c r="L50" s="392">
        <f>L15+L25</f>
        <v>160.32500000000002</v>
      </c>
      <c r="M50" s="392">
        <f>M15+M25</f>
        <v>467.87100000000004</v>
      </c>
      <c r="N50" s="392">
        <f>N15+N25</f>
        <v>539.45900000000006</v>
      </c>
    </row>
    <row r="51" spans="1:19" customFormat="1" ht="15" customHeight="1" thickBot="1">
      <c r="A51" s="365"/>
      <c r="B51" s="278"/>
      <c r="C51" s="278"/>
      <c r="D51" s="278"/>
      <c r="E51" s="278"/>
      <c r="F51" s="278"/>
      <c r="G51" s="278"/>
      <c r="H51" s="274"/>
      <c r="I51" s="296" t="s">
        <v>89</v>
      </c>
      <c r="J51" s="399">
        <f>J48+J35+J10+J6+J45+J46+J47+J49</f>
        <v>84.873999999999995</v>
      </c>
      <c r="K51" s="399">
        <f>K48+K35+K10+K6+K45+K46+K47+K49</f>
        <v>118.13200000000001</v>
      </c>
      <c r="L51" s="399">
        <f>L48+L35+L10+L6+L45+L46+L47+L49</f>
        <v>160.32499999999999</v>
      </c>
      <c r="M51" s="399">
        <f>M48+M35+M10+M6+M45+M46+M47+M49</f>
        <v>467.87100000000004</v>
      </c>
      <c r="N51" s="399">
        <f>N48+N35+N10+N6+N45+N46+N47+N49</f>
        <v>539.45899999999995</v>
      </c>
    </row>
    <row r="52" spans="1:19" customFormat="1" ht="15" customHeight="1">
      <c r="A52" s="365"/>
      <c r="B52" s="278"/>
      <c r="C52" s="278"/>
      <c r="D52" s="278"/>
      <c r="E52" s="278"/>
      <c r="F52" s="278"/>
      <c r="G52" s="278"/>
      <c r="H52" s="274"/>
      <c r="I52" s="331"/>
      <c r="J52" s="281"/>
      <c r="K52" s="281"/>
      <c r="L52" s="281"/>
      <c r="M52" s="332"/>
      <c r="N52" s="332"/>
    </row>
    <row r="53" spans="1:19" customFormat="1" ht="15" customHeight="1" thickBot="1">
      <c r="A53" s="269"/>
      <c r="B53" s="278"/>
      <c r="C53" s="278"/>
      <c r="D53" s="278"/>
      <c r="E53" s="278"/>
      <c r="F53" s="278"/>
      <c r="G53" s="278"/>
      <c r="H53" s="274"/>
      <c r="I53" s="331"/>
      <c r="J53" s="281"/>
      <c r="K53" s="281"/>
      <c r="L53" s="281"/>
      <c r="M53" s="332"/>
      <c r="N53" s="332"/>
    </row>
    <row r="54" spans="1:19" customFormat="1" ht="15" customHeight="1">
      <c r="A54" s="269"/>
      <c r="B54" s="278"/>
      <c r="C54" s="278"/>
      <c r="D54" s="278"/>
      <c r="E54" s="278"/>
      <c r="F54" s="278"/>
      <c r="G54" s="278"/>
      <c r="H54" s="274"/>
      <c r="I54" s="362" t="s">
        <v>49</v>
      </c>
      <c r="J54" s="363"/>
      <c r="K54" s="363"/>
      <c r="L54" s="363"/>
      <c r="M54" s="363"/>
      <c r="N54" s="364"/>
    </row>
    <row r="55" spans="1:19" customFormat="1" ht="15" customHeight="1">
      <c r="A55" s="269"/>
      <c r="B55" s="278"/>
      <c r="C55" s="278"/>
      <c r="D55" s="278"/>
      <c r="E55" s="278"/>
      <c r="F55" s="278"/>
      <c r="G55" s="278"/>
      <c r="H55" s="274"/>
      <c r="I55" s="300" t="s">
        <v>50</v>
      </c>
      <c r="J55" s="287" t="s">
        <v>211</v>
      </c>
      <c r="K55" s="287" t="s">
        <v>216</v>
      </c>
      <c r="L55" s="287" t="s">
        <v>217</v>
      </c>
      <c r="M55" s="287" t="s">
        <v>218</v>
      </c>
      <c r="N55" s="293" t="s">
        <v>226</v>
      </c>
      <c r="O55" s="281"/>
      <c r="P55" s="281"/>
      <c r="Q55" s="281"/>
      <c r="R55" s="281"/>
      <c r="S55" s="281"/>
    </row>
    <row r="56" spans="1:19" customFormat="1" ht="15" customHeight="1">
      <c r="A56" s="269"/>
      <c r="B56" s="278"/>
      <c r="C56" s="278"/>
      <c r="D56" s="278"/>
      <c r="E56" s="278"/>
      <c r="F56" s="278"/>
      <c r="G56" s="278"/>
      <c r="H56" s="274"/>
      <c r="I56" s="301" t="s">
        <v>51</v>
      </c>
      <c r="J56" s="305" t="s">
        <v>215</v>
      </c>
      <c r="K56" s="305" t="s">
        <v>215</v>
      </c>
      <c r="L56" s="305" t="s">
        <v>215</v>
      </c>
      <c r="M56" s="347">
        <v>191.45</v>
      </c>
      <c r="N56" s="386">
        <v>291.8</v>
      </c>
      <c r="O56" s="281"/>
      <c r="P56" s="281"/>
      <c r="Q56" s="281"/>
      <c r="R56" s="281"/>
      <c r="S56" s="281"/>
    </row>
    <row r="57" spans="1:19" customFormat="1" ht="15" customHeight="1">
      <c r="A57" s="269"/>
      <c r="B57" s="278"/>
      <c r="C57" s="278"/>
      <c r="D57" s="278"/>
      <c r="E57" s="278"/>
      <c r="F57" s="278"/>
      <c r="G57" s="278"/>
      <c r="H57" s="274"/>
      <c r="I57" s="306" t="s">
        <v>52</v>
      </c>
      <c r="J57" s="307" t="s">
        <v>215</v>
      </c>
      <c r="K57" s="307" t="s">
        <v>215</v>
      </c>
      <c r="L57" s="307" t="s">
        <v>215</v>
      </c>
      <c r="M57" s="348">
        <f>F24</f>
        <v>8.83</v>
      </c>
      <c r="N57" s="387">
        <f>M57+G24-4.36</f>
        <v>10.59</v>
      </c>
      <c r="O57" s="299" t="s">
        <v>225</v>
      </c>
      <c r="P57" s="299"/>
      <c r="Q57" s="299"/>
      <c r="R57" s="299"/>
      <c r="S57" s="299"/>
    </row>
    <row r="58" spans="1:19" customFormat="1" ht="15" customHeight="1">
      <c r="A58" s="269"/>
      <c r="B58" s="278"/>
      <c r="C58" s="278"/>
      <c r="D58" s="278"/>
      <c r="E58" s="278"/>
      <c r="F58" s="278"/>
      <c r="G58" s="278"/>
      <c r="H58" s="274"/>
      <c r="I58" s="308" t="s">
        <v>53</v>
      </c>
      <c r="J58" s="307" t="s">
        <v>215</v>
      </c>
      <c r="K58" s="307" t="s">
        <v>215</v>
      </c>
      <c r="L58" s="307" t="s">
        <v>215</v>
      </c>
      <c r="M58" s="349">
        <f>(M6*1000000)/F45</f>
        <v>42.706026187030645</v>
      </c>
      <c r="N58" s="307">
        <f>(N6*1000000)/G45</f>
        <v>48.985316540128764</v>
      </c>
    </row>
    <row r="59" spans="1:19" customFormat="1" ht="15" customHeight="1">
      <c r="A59" s="269"/>
      <c r="B59" s="278"/>
      <c r="C59" s="278"/>
      <c r="D59" s="278"/>
      <c r="E59" s="278"/>
      <c r="F59" s="278"/>
      <c r="G59" s="278"/>
      <c r="H59" s="274"/>
      <c r="I59" s="308" t="s">
        <v>55</v>
      </c>
      <c r="J59" s="307" t="s">
        <v>215</v>
      </c>
      <c r="K59" s="307" t="s">
        <v>215</v>
      </c>
      <c r="L59" s="307" t="s">
        <v>215</v>
      </c>
      <c r="M59" s="311">
        <f>M56/M57</f>
        <v>21.681766704416759</v>
      </c>
      <c r="N59" s="388">
        <f>N56/N57</f>
        <v>27.554296506137867</v>
      </c>
    </row>
    <row r="60" spans="1:19" customFormat="1" ht="15" customHeight="1">
      <c r="A60" s="269"/>
      <c r="B60" s="278"/>
      <c r="C60" s="278"/>
      <c r="D60" s="278"/>
      <c r="E60" s="278"/>
      <c r="F60" s="278"/>
      <c r="G60" s="278"/>
      <c r="H60" s="274"/>
      <c r="I60" s="308" t="s">
        <v>56</v>
      </c>
      <c r="J60" s="307" t="s">
        <v>215</v>
      </c>
      <c r="K60" s="307" t="s">
        <v>215</v>
      </c>
      <c r="L60" s="307" t="s">
        <v>215</v>
      </c>
      <c r="M60" s="311">
        <f>M56/M58</f>
        <v>4.4829738819890776</v>
      </c>
      <c r="N60" s="388">
        <f>N56/N58</f>
        <v>5.9568870961762084</v>
      </c>
    </row>
    <row r="61" spans="1:19" customFormat="1" ht="15" customHeight="1">
      <c r="A61" s="269"/>
      <c r="B61" s="278"/>
      <c r="C61" s="278"/>
      <c r="D61" s="278"/>
      <c r="E61" s="278"/>
      <c r="F61" s="278"/>
      <c r="G61" s="278"/>
      <c r="H61" s="274"/>
      <c r="I61" s="308" t="s">
        <v>57</v>
      </c>
      <c r="J61" s="307" t="s">
        <v>215</v>
      </c>
      <c r="K61" s="307" t="s">
        <v>215</v>
      </c>
      <c r="L61" s="307" t="s">
        <v>215</v>
      </c>
      <c r="M61" s="311">
        <f>F49/F11</f>
        <v>15.220257520736149</v>
      </c>
      <c r="N61" s="388" t="s">
        <v>215</v>
      </c>
    </row>
    <row r="62" spans="1:19" customFormat="1" ht="15" customHeight="1">
      <c r="A62" s="269"/>
      <c r="B62" s="278"/>
      <c r="C62" s="278"/>
      <c r="D62" s="278"/>
      <c r="E62" s="278"/>
      <c r="F62" s="278"/>
      <c r="G62" s="278"/>
      <c r="H62" s="274"/>
      <c r="I62" s="309" t="s">
        <v>58</v>
      </c>
      <c r="J62" s="310">
        <f>(C21/J6)</f>
        <v>0.29559981209161951</v>
      </c>
      <c r="K62" s="310">
        <f>(D21/K6)</f>
        <v>0.3265748276820723</v>
      </c>
      <c r="L62" s="310">
        <f>(E21/L6)</f>
        <v>0.3372418218838385</v>
      </c>
      <c r="M62" s="310">
        <f>(F21/M6)</f>
        <v>0.20702653071086835</v>
      </c>
      <c r="N62" s="389" t="s">
        <v>215</v>
      </c>
    </row>
    <row r="63" spans="1:19" customFormat="1" ht="15" customHeight="1">
      <c r="A63" s="269"/>
      <c r="B63" s="278"/>
      <c r="C63" s="278"/>
      <c r="D63" s="278"/>
      <c r="E63" s="278"/>
      <c r="F63" s="278"/>
      <c r="G63" s="278"/>
      <c r="H63" s="274"/>
      <c r="I63" s="309" t="s">
        <v>59</v>
      </c>
      <c r="J63" s="310">
        <f>(C11-C16)/J11</f>
        <v>0.35975777594274699</v>
      </c>
      <c r="K63" s="310">
        <f>(D11-D16)/K11</f>
        <v>0.38768904463297688</v>
      </c>
      <c r="L63" s="310">
        <f>(E11-E16)/L11</f>
        <v>0.42369357045143624</v>
      </c>
      <c r="M63" s="310">
        <f>(F11-F16)/M11</f>
        <v>0.24287898467717575</v>
      </c>
      <c r="N63" s="389" t="s">
        <v>215</v>
      </c>
    </row>
    <row r="64" spans="1:19" customFormat="1" ht="15" customHeight="1">
      <c r="A64" s="269"/>
      <c r="B64" s="278"/>
      <c r="C64" s="278"/>
      <c r="D64" s="278"/>
      <c r="E64" s="278"/>
      <c r="F64" s="278"/>
      <c r="G64" s="278"/>
      <c r="H64" s="274"/>
      <c r="I64" s="308" t="s">
        <v>60</v>
      </c>
      <c r="J64" s="385" t="s">
        <v>215</v>
      </c>
      <c r="K64" s="385" t="s">
        <v>215</v>
      </c>
      <c r="L64" s="385" t="s">
        <v>215</v>
      </c>
      <c r="M64" s="385" t="s">
        <v>215</v>
      </c>
      <c r="N64" s="385" t="s">
        <v>215</v>
      </c>
    </row>
    <row r="65" spans="1:14" customFormat="1" ht="15" customHeight="1">
      <c r="A65" s="269"/>
      <c r="B65" s="278"/>
      <c r="C65" s="278"/>
      <c r="D65" s="278"/>
      <c r="E65" s="278"/>
      <c r="F65" s="278"/>
      <c r="G65" s="278"/>
      <c r="H65" s="274"/>
      <c r="I65" s="308" t="s">
        <v>61</v>
      </c>
      <c r="J65" s="312">
        <f>(J10-SUM(J29:J30))/J6</f>
        <v>-0.48834825686506184</v>
      </c>
      <c r="K65" s="312">
        <f>(K10-SUM(K29:K30))/K6</f>
        <v>-0.38534986051594722</v>
      </c>
      <c r="L65" s="312">
        <f>(L10-SUM(L29:L30))/L6</f>
        <v>-0.49702505922152412</v>
      </c>
      <c r="M65" s="312">
        <f>(M10-SUM(M29:M30))/M6</f>
        <v>-0.75411008553617165</v>
      </c>
      <c r="N65" s="390" t="s">
        <v>215</v>
      </c>
    </row>
    <row r="66" spans="1:14" customFormat="1" ht="15" customHeight="1">
      <c r="A66" s="269"/>
      <c r="B66" s="278"/>
      <c r="C66" s="278"/>
      <c r="D66" s="278"/>
      <c r="E66" s="278"/>
      <c r="F66" s="278"/>
      <c r="G66" s="278"/>
      <c r="H66" s="274"/>
      <c r="I66" s="308" t="s">
        <v>63</v>
      </c>
      <c r="J66" s="313">
        <f>J28/C4*365</f>
        <v>86.378983224901532</v>
      </c>
      <c r="K66" s="313">
        <f>(AVERAGE(J28:K28)/D4*365)</f>
        <v>77.051515606378999</v>
      </c>
      <c r="L66" s="313">
        <f>(AVERAGE(K28:L28)/E4*365)</f>
        <v>61.514920734060631</v>
      </c>
      <c r="M66" s="313">
        <f>(AVERAGE(L28:M28)/F4*365)</f>
        <v>59.816119563347975</v>
      </c>
      <c r="N66" s="385" t="s">
        <v>215</v>
      </c>
    </row>
    <row r="67" spans="1:14" customFormat="1" ht="15" customHeight="1">
      <c r="A67" s="269"/>
      <c r="B67" s="278"/>
      <c r="C67" s="278"/>
      <c r="D67" s="278"/>
      <c r="E67" s="278"/>
      <c r="F67" s="278"/>
      <c r="G67" s="278"/>
      <c r="H67" s="274"/>
      <c r="I67" s="308" t="s">
        <v>64</v>
      </c>
      <c r="J67" s="313">
        <f>AVERAGE(J37)/(C7)*365</f>
        <v>15.822964500011238</v>
      </c>
      <c r="K67" s="313">
        <f>AVERAGE(J37:K37)/(D7)*365</f>
        <v>8.7002542840104873</v>
      </c>
      <c r="L67" s="313">
        <f>AVERAGE(K37:L37)/(E7)*365</f>
        <v>6.3881016849282384</v>
      </c>
      <c r="M67" s="313">
        <f>AVERAGE(L37:M37)/(F7)*365</f>
        <v>6.3650652503064249</v>
      </c>
      <c r="N67" s="385" t="s">
        <v>215</v>
      </c>
    </row>
    <row r="68" spans="1:14" customFormat="1" ht="15" customHeight="1">
      <c r="A68" s="269"/>
      <c r="B68" s="278"/>
      <c r="C68" s="278"/>
      <c r="D68" s="278"/>
      <c r="E68" s="278"/>
      <c r="F68" s="278"/>
      <c r="G68" s="278"/>
      <c r="H68" s="274"/>
      <c r="I68" s="308" t="s">
        <v>81</v>
      </c>
      <c r="J68" s="313">
        <f>(J66-J67)</f>
        <v>70.556018724890293</v>
      </c>
      <c r="K68" s="313">
        <f>(K66-K67)</f>
        <v>68.351261322368515</v>
      </c>
      <c r="L68" s="313">
        <f>(L66-L67)</f>
        <v>55.126819049132394</v>
      </c>
      <c r="M68" s="313">
        <f>(M66-M67)</f>
        <v>53.451054313041553</v>
      </c>
      <c r="N68" s="385" t="s">
        <v>215</v>
      </c>
    </row>
    <row r="69" spans="1:14" customFormat="1" ht="15" customHeight="1">
      <c r="A69" s="269"/>
      <c r="B69" s="278"/>
      <c r="C69" s="278"/>
      <c r="D69" s="278"/>
      <c r="E69" s="278"/>
      <c r="F69" s="278"/>
      <c r="G69" s="278"/>
      <c r="H69" s="274"/>
      <c r="I69" s="308" t="s">
        <v>66</v>
      </c>
      <c r="J69" s="313">
        <f>AVERAGE(J43)/C4*365</f>
        <v>164.1552651517523</v>
      </c>
      <c r="K69" s="313">
        <f>AVERAGE(J43:K43)/D4*365</f>
        <v>148.73045222564886</v>
      </c>
      <c r="L69" s="313">
        <f>AVERAGE(K43:L43)/E4*365</f>
        <v>126.48383894033179</v>
      </c>
      <c r="M69" s="313">
        <f>AVERAGE(L43:M43)/F4*365</f>
        <v>189.11359406975694</v>
      </c>
      <c r="N69" s="385" t="s">
        <v>215</v>
      </c>
    </row>
    <row r="70" spans="1:14" customFormat="1" ht="15" customHeight="1" thickBot="1">
      <c r="A70" s="269"/>
      <c r="B70" s="278"/>
      <c r="C70" s="278"/>
      <c r="D70" s="278"/>
      <c r="E70" s="278"/>
      <c r="F70" s="278"/>
      <c r="G70" s="278"/>
      <c r="H70" s="274"/>
      <c r="I70" s="314" t="s">
        <v>86</v>
      </c>
      <c r="J70" s="385" t="s">
        <v>215</v>
      </c>
      <c r="K70" s="385" t="s">
        <v>215</v>
      </c>
      <c r="L70" s="385" t="s">
        <v>215</v>
      </c>
      <c r="M70" s="385" t="s">
        <v>215</v>
      </c>
      <c r="N70" s="385" t="s">
        <v>215</v>
      </c>
    </row>
    <row r="71" spans="1:14" customFormat="1" ht="15" customHeight="1">
      <c r="A71" s="269"/>
      <c r="B71" s="278"/>
      <c r="C71" s="278"/>
      <c r="D71" s="278"/>
      <c r="E71" s="278"/>
      <c r="F71" s="278"/>
      <c r="G71" s="278"/>
      <c r="H71" s="269"/>
      <c r="I71" s="269"/>
      <c r="J71" s="269"/>
      <c r="K71" s="269"/>
      <c r="L71" s="278"/>
      <c r="M71" s="278"/>
      <c r="N71" s="278"/>
    </row>
    <row r="72" spans="1:14" customFormat="1" ht="15" customHeight="1">
      <c r="A72" s="269"/>
      <c r="B72" s="278"/>
      <c r="C72" s="278"/>
      <c r="D72" s="278"/>
      <c r="E72" s="278"/>
      <c r="F72" s="278"/>
      <c r="G72" s="278"/>
      <c r="H72" s="269"/>
      <c r="I72" s="269"/>
      <c r="J72" s="269"/>
      <c r="K72" s="269"/>
      <c r="L72" s="278"/>
      <c r="M72" s="278"/>
      <c r="N72" s="278"/>
    </row>
    <row r="73" spans="1:14" customFormat="1" ht="15" customHeight="1">
      <c r="A73" s="269"/>
      <c r="B73" s="278"/>
      <c r="C73" s="278"/>
      <c r="D73" s="278"/>
      <c r="E73" s="278"/>
      <c r="F73" s="278"/>
      <c r="G73" s="278"/>
      <c r="H73" s="269"/>
      <c r="I73" s="269"/>
      <c r="J73" s="269"/>
      <c r="K73" s="269"/>
      <c r="L73" s="278"/>
      <c r="M73" s="278"/>
      <c r="N73" s="278"/>
    </row>
    <row r="74" spans="1:14" customFormat="1" ht="15" customHeight="1">
      <c r="A74" s="269"/>
      <c r="B74" s="278"/>
      <c r="C74" s="278"/>
      <c r="D74" s="278"/>
      <c r="E74" s="278"/>
      <c r="F74" s="278"/>
      <c r="G74" s="278"/>
      <c r="H74" s="269"/>
      <c r="I74" s="269"/>
      <c r="J74" s="269"/>
      <c r="K74" s="269"/>
      <c r="L74" s="278"/>
      <c r="M74" s="278"/>
      <c r="N74" s="278"/>
    </row>
    <row r="1048572" spans="8:11" ht="15" customHeight="1">
      <c r="I1048572" s="278"/>
      <c r="J1048572" s="278"/>
      <c r="K1048572" s="278"/>
    </row>
    <row r="1048576" spans="8:11" ht="15" customHeight="1">
      <c r="H1048576" s="278"/>
    </row>
  </sheetData>
  <mergeCells count="9">
    <mergeCell ref="I54:N54"/>
    <mergeCell ref="A1:A52"/>
    <mergeCell ref="B27:F28"/>
    <mergeCell ref="B37:F37"/>
    <mergeCell ref="B42:F43"/>
    <mergeCell ref="B2:G2"/>
    <mergeCell ref="B29:G29"/>
    <mergeCell ref="B1:N1"/>
    <mergeCell ref="I2:N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J65:K65 K67:M67 L66:M6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109375" style="86" customWidth="1"/>
    <col min="13" max="13" width="12.5546875" style="86" customWidth="1"/>
    <col min="14" max="16384" width="9.109375" style="86"/>
  </cols>
  <sheetData>
    <row r="1" spans="1:13">
      <c r="A1" s="379" t="s">
        <v>185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</row>
    <row r="2" spans="1:13">
      <c r="A2" s="121" t="s">
        <v>163</v>
      </c>
    </row>
    <row r="3" spans="1:13" s="121" customFormat="1" ht="15" thickBot="1">
      <c r="B3" s="113" t="s">
        <v>162</v>
      </c>
      <c r="C3" s="113" t="s">
        <v>162</v>
      </c>
      <c r="D3" s="113" t="s">
        <v>162</v>
      </c>
      <c r="E3" s="113" t="s">
        <v>162</v>
      </c>
      <c r="F3" s="113"/>
      <c r="I3" s="113" t="s">
        <v>162</v>
      </c>
      <c r="J3" s="113" t="s">
        <v>162</v>
      </c>
      <c r="K3" s="113" t="s">
        <v>162</v>
      </c>
      <c r="L3" s="113" t="s">
        <v>162</v>
      </c>
      <c r="M3" s="113"/>
    </row>
    <row r="4" spans="1:13" ht="43.8" thickBot="1">
      <c r="A4" s="120" t="s">
        <v>125</v>
      </c>
      <c r="B4" s="111" t="s">
        <v>186</v>
      </c>
      <c r="C4" s="111" t="s">
        <v>187</v>
      </c>
      <c r="D4" s="111" t="s">
        <v>188</v>
      </c>
      <c r="E4" s="111" t="s">
        <v>189</v>
      </c>
      <c r="F4" s="110"/>
      <c r="H4" s="120" t="s">
        <v>124</v>
      </c>
      <c r="I4" s="111" t="s">
        <v>186</v>
      </c>
      <c r="J4" s="111" t="s">
        <v>187</v>
      </c>
      <c r="K4" s="111" t="s">
        <v>188</v>
      </c>
      <c r="L4" s="111" t="s">
        <v>199</v>
      </c>
      <c r="M4" s="110"/>
    </row>
    <row r="5" spans="1:13">
      <c r="A5" s="92" t="s">
        <v>196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123</v>
      </c>
      <c r="I5" s="102">
        <f>Consolidated!L6</f>
        <v>126.221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200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Consolidated!L8/10</f>
        <v>0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112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Consolidated!L9/10</f>
        <v>0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0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122</v>
      </c>
      <c r="B9" s="102"/>
      <c r="C9" s="102"/>
      <c r="D9" s="102"/>
      <c r="E9" s="102"/>
      <c r="F9" s="101"/>
      <c r="H9" s="109" t="s">
        <v>43</v>
      </c>
      <c r="I9" s="117">
        <f>(I10+I11-I17-I7)</f>
        <v>12.792500000000002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121</v>
      </c>
      <c r="B10" s="102"/>
      <c r="C10" s="102"/>
      <c r="D10" s="102"/>
      <c r="E10" s="102"/>
      <c r="F10" s="101"/>
      <c r="H10" s="92" t="s">
        <v>120</v>
      </c>
      <c r="I10" s="102">
        <f>Consolidated!L15/10</f>
        <v>2.3E-3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119</v>
      </c>
      <c r="I11" s="102">
        <f>Consolidated!L25/10</f>
        <v>16.030200000000001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190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118</v>
      </c>
      <c r="I12" s="102" t="e">
        <f>Consolidated!#REF!/10</f>
        <v>#REF!</v>
      </c>
      <c r="J12" s="102"/>
      <c r="K12" s="102"/>
      <c r="L12" s="102"/>
      <c r="M12" s="101"/>
    </row>
    <row r="13" spans="1:13">
      <c r="A13" s="109" t="s">
        <v>201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117</v>
      </c>
      <c r="I13" s="102" t="e">
        <f>Consolidated!#REF!/10</f>
        <v>#REF!</v>
      </c>
      <c r="J13" s="102"/>
      <c r="K13" s="102"/>
      <c r="L13" s="102"/>
      <c r="M13" s="101"/>
    </row>
    <row r="14" spans="1:13">
      <c r="A14" s="109" t="s">
        <v>112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205</v>
      </c>
      <c r="I14" s="102">
        <f>Consolidated!L28/10</f>
        <v>5.9384999999999994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116</v>
      </c>
      <c r="I15" s="102">
        <f>Consolidated!K28/10</f>
        <v>5.5024999999999995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191</v>
      </c>
      <c r="B16" s="102" t="e">
        <f>Consolidated!#REF!</f>
        <v>#REF!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115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192</v>
      </c>
      <c r="B17" s="102" t="e">
        <f>Consolidated!#REF!</f>
        <v>#REF!</v>
      </c>
      <c r="C17" s="102">
        <v>13.548296000000001</v>
      </c>
      <c r="D17" s="102">
        <v>122.89</v>
      </c>
      <c r="E17" s="102">
        <v>1668.01</v>
      </c>
      <c r="F17" s="101"/>
      <c r="H17" s="92" t="s">
        <v>114</v>
      </c>
      <c r="I17" s="102">
        <f>Consolidated!L35/10</f>
        <v>3.2399999999999998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206</v>
      </c>
      <c r="I18" s="102" t="e">
        <f>Consolidated!#REF!/10</f>
        <v>#REF!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202</v>
      </c>
      <c r="B19" s="102" t="e">
        <f>Consolidated!#REF!</f>
        <v>#REF!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113</v>
      </c>
      <c r="I19" s="102">
        <f>Consolidated!K37/10</f>
        <v>0.26869999999999999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203</v>
      </c>
      <c r="B20" s="102" t="e">
        <f>Consolidated!#REF!</f>
        <v>#REF!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12.7902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193</v>
      </c>
      <c r="B22" s="102" t="e">
        <f>Consolidated!#REF!</f>
        <v>#REF!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204</v>
      </c>
      <c r="B23" s="102" t="e">
        <f>Consolidated!#REF!</f>
        <v>#REF!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162</v>
      </c>
      <c r="J24" s="113" t="s">
        <v>162</v>
      </c>
      <c r="K24" s="113" t="s">
        <v>162</v>
      </c>
      <c r="L24" s="113" t="s">
        <v>162</v>
      </c>
      <c r="M24" s="113"/>
    </row>
    <row r="25" spans="1:13" ht="43.2">
      <c r="A25" s="92" t="s">
        <v>194</v>
      </c>
      <c r="B25" s="102" t="e">
        <f>Consolidated!#REF!</f>
        <v>#REF!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186</v>
      </c>
      <c r="J25" s="111" t="s">
        <v>208</v>
      </c>
      <c r="K25" s="111" t="s">
        <v>188</v>
      </c>
      <c r="L25" s="111" t="s">
        <v>199</v>
      </c>
      <c r="M25" s="110"/>
    </row>
    <row r="26" spans="1:13">
      <c r="A26" s="92" t="s">
        <v>207</v>
      </c>
      <c r="B26" s="102" t="e">
        <f>Consolidated!#REF!</f>
        <v>#REF!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 t="e">
        <f>Consolidated!#REF!</f>
        <v>#REF!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112</v>
      </c>
      <c r="B27" s="146" t="e">
        <f>Consolidated!#REF!</f>
        <v>#REF!</v>
      </c>
      <c r="C27" s="149">
        <f>(C25/C26)^(1/3)-1</f>
        <v>-1.7653394559979039</v>
      </c>
      <c r="D27" s="149">
        <f>(D25/D26)^(1/3)-1</f>
        <v>-0.15305722580988934</v>
      </c>
      <c r="E27" s="149">
        <f>(E25/E26)^(1/3)-1</f>
        <v>-2.5245567365343407</v>
      </c>
      <c r="F27" s="149"/>
      <c r="H27" s="92" t="s">
        <v>74</v>
      </c>
      <c r="I27" s="100" t="e">
        <f>Consolidated!#REF!/10</f>
        <v>#REF!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 t="e">
        <f>Consolidated!#REF!/10</f>
        <v>#REF!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195</v>
      </c>
      <c r="B29" s="104" t="e">
        <f>Consolidated!#REF!</f>
        <v>#REF!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 t="e">
        <f>Consolidated!#REF!/10</f>
        <v>#REF!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 t="e">
        <f>Consolidated!#REF!/10</f>
        <v>#REF!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 t="e">
        <f>Consolidated!#REF!</f>
        <v>#REF!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 t="e">
        <f>B29</f>
        <v>#REF!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 t="e">
        <f>Consolidated!#REF!</f>
        <v>#REF!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 t="e">
        <f>Consolidated!#REF!</f>
        <v>#REF!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 t="e">
        <f>Consolidated!#REF!</f>
        <v>#REF!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 t="e">
        <f>Consolidated!#REF!</f>
        <v>#REF!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 t="e">
        <f>Consolidated!#REF!</f>
        <v>#REF!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 t="e">
        <f>Consolidated!#REF!</f>
        <v>#REF!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110</v>
      </c>
      <c r="I39" s="91">
        <f>I10/B5</f>
        <v>1.05480394404953E-6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 t="e">
        <f>Consolidated!#REF!</f>
        <v>#REF!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 t="e">
        <f>Consolidated!#REF!</f>
        <v>#REF!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111</v>
      </c>
      <c r="I42" s="147" t="e">
        <f>Consolidated!#REF!</f>
        <v>#REF!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 t="e">
        <f>Consolidated!#REF!</f>
        <v>#REF!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Consolidated!#REF!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 t="e">
        <f>Consolidated!#REF!</f>
        <v>#REF!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e">
        <f>Consolidated!#REF!</f>
        <v>#REF!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Consolidated!#REF!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Consolidated!#REF!</f>
        <v>#REF!</v>
      </c>
      <c r="J49" s="94">
        <f>C17/J8/10</f>
        <v>0.42671190948714682</v>
      </c>
      <c r="K49" s="94">
        <f>D17/K8/10</f>
        <v>0.16120061599649499</v>
      </c>
      <c r="L49" s="94">
        <f>E17/L8/10</f>
        <v>0.16719776028515668</v>
      </c>
      <c r="M49" s="93"/>
    </row>
    <row r="50" spans="8:13" ht="15" thickBot="1">
      <c r="H50" s="89" t="s">
        <v>109</v>
      </c>
      <c r="I50" s="88" t="e">
        <f>Consolidated!#REF!</f>
        <v>#REF!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380" t="s">
        <v>197</v>
      </c>
      <c r="B1" s="381"/>
      <c r="C1" s="381"/>
      <c r="D1" s="381"/>
      <c r="E1" s="381"/>
      <c r="F1" s="381"/>
      <c r="G1" s="381"/>
      <c r="H1" s="381"/>
      <c r="I1" s="382"/>
    </row>
    <row r="2" spans="1:9" s="144" customFormat="1" ht="28.8">
      <c r="A2" s="383" t="s">
        <v>151</v>
      </c>
      <c r="B2" s="111" t="s">
        <v>186</v>
      </c>
      <c r="C2" s="111" t="s">
        <v>186</v>
      </c>
      <c r="D2" s="111" t="s">
        <v>198</v>
      </c>
      <c r="E2" s="111" t="s">
        <v>198</v>
      </c>
      <c r="F2" s="111" t="s">
        <v>188</v>
      </c>
      <c r="G2" s="111" t="s">
        <v>188</v>
      </c>
      <c r="H2" s="111" t="s">
        <v>199</v>
      </c>
      <c r="I2" s="111" t="s">
        <v>199</v>
      </c>
    </row>
    <row r="3" spans="1:9" s="144" customFormat="1" ht="31.2">
      <c r="A3" s="384"/>
      <c r="B3" s="145" t="s">
        <v>212</v>
      </c>
      <c r="C3" s="145" t="s">
        <v>213</v>
      </c>
      <c r="D3" s="145" t="s">
        <v>212</v>
      </c>
      <c r="E3" s="145" t="s">
        <v>213</v>
      </c>
      <c r="F3" s="145" t="s">
        <v>212</v>
      </c>
      <c r="G3" s="145" t="s">
        <v>213</v>
      </c>
      <c r="H3" s="145" t="s">
        <v>212</v>
      </c>
      <c r="I3" s="145" t="s">
        <v>213</v>
      </c>
    </row>
    <row r="4" spans="1:9" ht="15.6">
      <c r="A4" s="129" t="s">
        <v>150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125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107</v>
      </c>
      <c r="B6" s="117">
        <f>Consolidated!C4</f>
        <v>159.70099999999999</v>
      </c>
      <c r="C6" s="117">
        <f>Consolidated!D4</f>
        <v>219.846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148</v>
      </c>
      <c r="B7" s="237" t="str">
        <f>Consolidated!C6</f>
        <v>NA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 t="str">
        <f>Consolidated!C13</f>
        <v>NA</v>
      </c>
      <c r="C8" s="236" t="str">
        <f>Consolidated!D13</f>
        <v>NA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148</v>
      </c>
      <c r="B9" s="237">
        <f>Consolidated!C15</f>
        <v>0.94499999999999995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149</v>
      </c>
      <c r="B10" s="233">
        <f>Consolidated!C16</f>
        <v>6.8000000000000005E-2</v>
      </c>
      <c r="C10" s="253">
        <f>Consolidated!D16</f>
        <v>5.0999999999999997E-2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>
        <f>Consolidated!C23</f>
        <v>0</v>
      </c>
      <c r="C11" s="235">
        <f>Consolidated!D23</f>
        <v>0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148</v>
      </c>
      <c r="B12" s="234" t="e">
        <f>Consolidated!#REF!</f>
        <v>#REF!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147</v>
      </c>
      <c r="B13" s="233">
        <f>+B11/B$6</f>
        <v>0</v>
      </c>
      <c r="C13" s="233" t="e">
        <f>Consolidated!#REF!</f>
        <v>#REF!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 t="str">
        <f>Consolidated!C26</f>
        <v>NA</v>
      </c>
      <c r="C14" s="252" t="str">
        <f>Consolidated!D26</f>
        <v>NA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146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145</v>
      </c>
      <c r="B18" s="235">
        <f>Consolidated!M6</f>
        <v>413.86</v>
      </c>
      <c r="C18" s="235">
        <f>Consolidated!N6</f>
        <v>474.71199999999999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Consolidated!M10</f>
        <v>0</v>
      </c>
      <c r="C19" s="254">
        <f>Consolidated!N10</f>
        <v>0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144</v>
      </c>
      <c r="B20" s="226">
        <f>Consolidated!M8</f>
        <v>0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209</v>
      </c>
      <c r="H20" s="118">
        <v>543.07000000000005</v>
      </c>
      <c r="I20" s="118">
        <v>332.38</v>
      </c>
    </row>
    <row r="21" spans="1:9">
      <c r="A21" s="136" t="s">
        <v>143</v>
      </c>
      <c r="B21" s="231">
        <f>Consolidated!M9</f>
        <v>0</v>
      </c>
      <c r="C21" s="231">
        <f>Consolidated!N9</f>
        <v>0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209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142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141</v>
      </c>
      <c r="B24" s="258">
        <f>Consolidated!C34</f>
        <v>0</v>
      </c>
      <c r="C24" s="266">
        <f>Consolidated!D34</f>
        <v>0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>
        <f>Consolidated!C43</f>
        <v>0</v>
      </c>
      <c r="C25" s="262">
        <f>Consolidated!D43</f>
        <v>0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 t="e">
        <f>'Peer Analysis working'!I26</f>
        <v>#REF!</v>
      </c>
      <c r="C27" s="263">
        <f>Consolidated!D47</f>
        <v>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>
        <f>Consolidated!C48</f>
        <v>34.305</v>
      </c>
      <c r="C28" s="264">
        <f>Consolidated!D48</f>
        <v>40.197000000000003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140</v>
      </c>
      <c r="B29" s="260" t="e">
        <f>Consolidated!#REF!</f>
        <v>#REF!</v>
      </c>
      <c r="C29" s="264" t="e">
        <f>Consolidated!#REF!</f>
        <v>#REF!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139</v>
      </c>
      <c r="B31" s="232" t="str">
        <f>Consolidated!J59</f>
        <v>NA</v>
      </c>
      <c r="C31" s="232" t="str">
        <f>Consolidated!K59</f>
        <v>NA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 t="e">
        <f>Consolidated!#REF!</f>
        <v>#REF!</v>
      </c>
      <c r="C32" s="255" t="e">
        <f>Consolidated!#REF!</f>
        <v>#REF!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138</v>
      </c>
      <c r="B33" s="232" t="str">
        <f>Consolidated!J60</f>
        <v>NA</v>
      </c>
      <c r="C33" s="232" t="str">
        <f>Consolidated!K60</f>
        <v>NA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137</v>
      </c>
      <c r="B34" s="232" t="str">
        <f>Consolidated!J61</f>
        <v>NA</v>
      </c>
      <c r="C34" s="265" t="str">
        <f>Consolidated!K61</f>
        <v>NA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136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214</v>
      </c>
      <c r="B37" s="252" t="str">
        <f>Consolidated!J56</f>
        <v>NA</v>
      </c>
      <c r="C37" s="252" t="str">
        <f>Consolidated!K56</f>
        <v>NA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152</v>
      </c>
      <c r="B38" s="252">
        <f>B18</f>
        <v>413.86</v>
      </c>
      <c r="C38" s="252">
        <f>C18</f>
        <v>474.71199999999999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135</v>
      </c>
      <c r="B39" s="252" t="str">
        <f>Consolidated!J58</f>
        <v>NA</v>
      </c>
      <c r="C39" s="252" t="str">
        <f>Consolidated!K58</f>
        <v>NA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134</v>
      </c>
      <c r="B40" s="108">
        <f>Consolidated!J62</f>
        <v>0.29559981209161951</v>
      </c>
      <c r="C40" s="125">
        <f>Consolidated!K62</f>
        <v>0.3265748276820723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133</v>
      </c>
      <c r="B41" s="108">
        <f>Consolidated!J63</f>
        <v>0.35975777594274699</v>
      </c>
      <c r="C41" s="125">
        <f>Consolidated!K63</f>
        <v>0.38768904463297688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132</v>
      </c>
      <c r="B42" s="227">
        <f>'Peer Analysis working'!I39</f>
        <v>1.05480394404953E-6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131</v>
      </c>
      <c r="B43" s="256">
        <f>Consolidated!J66</f>
        <v>86.378983224901532</v>
      </c>
      <c r="C43" s="228">
        <f>Consolidated!K66</f>
        <v>77.051515606378999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e">
        <f>Consolidated!#REF!</f>
        <v>#REF!</v>
      </c>
      <c r="C44" s="268" t="s">
        <v>209</v>
      </c>
      <c r="D44" s="251" t="s">
        <v>209</v>
      </c>
      <c r="E44" s="127"/>
      <c r="F44" s="251" t="s">
        <v>209</v>
      </c>
      <c r="G44" s="127"/>
      <c r="H44" s="251" t="s">
        <v>209</v>
      </c>
      <c r="I44" s="127"/>
    </row>
    <row r="45" spans="1:9">
      <c r="A45" s="126" t="s">
        <v>130</v>
      </c>
      <c r="B45" s="228">
        <f>Consolidated!J67</f>
        <v>15.822964500011238</v>
      </c>
      <c r="C45" s="228">
        <f>Consolidated!K67</f>
        <v>8.7002542840104873</v>
      </c>
      <c r="D45" s="251" t="s">
        <v>209</v>
      </c>
      <c r="E45" s="127"/>
      <c r="F45" s="251" t="s">
        <v>209</v>
      </c>
      <c r="G45" s="127"/>
      <c r="H45" s="251" t="s">
        <v>209</v>
      </c>
      <c r="I45" s="127"/>
    </row>
    <row r="46" spans="1:9">
      <c r="A46" s="126" t="s">
        <v>129</v>
      </c>
      <c r="B46" s="256">
        <f>Consolidated!J68</f>
        <v>70.556018724890293</v>
      </c>
      <c r="C46" s="228">
        <f>Consolidated!K68</f>
        <v>68.351261322368515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>
        <f>Consolidated!J69</f>
        <v>164.1552651517523</v>
      </c>
      <c r="C47" s="228">
        <f>Consolidated!K69</f>
        <v>148.73045222564886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128</v>
      </c>
      <c r="B48" s="232" t="str">
        <f>Consolidated!J64</f>
        <v>NA</v>
      </c>
      <c r="C48" s="232" t="str">
        <f>Consolidated!K64</f>
        <v>NA</v>
      </c>
      <c r="D48" s="128">
        <v>0.19</v>
      </c>
      <c r="E48" s="128">
        <v>0.19</v>
      </c>
      <c r="F48" s="128">
        <v>0.06</v>
      </c>
      <c r="G48" s="261" t="s">
        <v>209</v>
      </c>
      <c r="H48" s="128">
        <v>0.4</v>
      </c>
      <c r="I48" s="128">
        <v>0.28999999999999998</v>
      </c>
    </row>
    <row r="49" spans="1:9">
      <c r="A49" s="126" t="s">
        <v>127</v>
      </c>
      <c r="B49" s="232">
        <f>Consolidated!J65</f>
        <v>-0.48834825686506184</v>
      </c>
      <c r="C49" s="232">
        <f>Consolidated!K65</f>
        <v>-0.38534986051594722</v>
      </c>
      <c r="D49" s="128">
        <v>0.19</v>
      </c>
      <c r="E49" s="128">
        <v>0.14000000000000001</v>
      </c>
      <c r="F49" s="128">
        <v>0.06</v>
      </c>
      <c r="G49" s="261" t="s">
        <v>209</v>
      </c>
      <c r="H49" s="128">
        <v>0.4</v>
      </c>
      <c r="I49" s="128">
        <v>0.12</v>
      </c>
    </row>
    <row r="50" spans="1:9">
      <c r="A50" s="126" t="s">
        <v>109</v>
      </c>
      <c r="B50" s="252" t="e">
        <f>Consolidated!#REF!</f>
        <v>#REF!</v>
      </c>
      <c r="C50" s="252" t="e">
        <f>Consolidated!#REF!</f>
        <v>#REF!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126</v>
      </c>
      <c r="B51" s="108" t="str">
        <f>Consolidated!J70</f>
        <v>NA</v>
      </c>
      <c r="C51" s="267" t="str">
        <f>Consolidated!K70</f>
        <v>NA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2021-02-17T05:19:03Z</cp:lastPrinted>
  <dcterms:created xsi:type="dcterms:W3CDTF">2017-09-19T08:05:47Z</dcterms:created>
  <dcterms:modified xsi:type="dcterms:W3CDTF">2024-11-28T05:16:46Z</dcterms:modified>
</cp:coreProperties>
</file>