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Suraj\Monte carlo\Monte Carlo Q2-FY25 Summary Sheet, FAct Sheet\"/>
    </mc:Choice>
  </mc:AlternateContent>
  <bookViews>
    <workbookView xWindow="0" yWindow="0" windowWidth="19200" windowHeight="6585" tabRatio="769"/>
  </bookViews>
  <sheets>
    <sheet name="Summary Sheet" sheetId="3" r:id="rId1"/>
    <sheet name="Sheet1" sheetId="4" r:id="rId2"/>
  </sheets>
  <definedNames>
    <definedName name="_xlnm.Print_Area" localSheetId="0">'Summary Sheet'!$A$1:$O$77</definedName>
  </definedNames>
  <calcPr calcId="162913"/>
</workbook>
</file>

<file path=xl/calcChain.xml><?xml version="1.0" encoding="utf-8"?>
<calcChain xmlns="http://schemas.openxmlformats.org/spreadsheetml/2006/main">
  <c r="R70" i="3" l="1"/>
  <c r="R71" i="3"/>
  <c r="R63" i="3"/>
  <c r="R62" i="3"/>
  <c r="R58" i="3"/>
  <c r="H59" i="3"/>
  <c r="R55" i="3" l="1"/>
  <c r="R50" i="3" l="1"/>
  <c r="R49" i="3"/>
  <c r="R48" i="3"/>
  <c r="R43" i="3"/>
  <c r="Q38" i="3"/>
  <c r="R38" i="3"/>
  <c r="R36" i="3"/>
  <c r="R26" i="3"/>
  <c r="Q26" i="3"/>
  <c r="R14" i="3"/>
  <c r="R11" i="3"/>
  <c r="R10" i="3"/>
  <c r="P10" i="3"/>
  <c r="Q10" i="3"/>
  <c r="R9" i="3"/>
  <c r="P9" i="3"/>
  <c r="Q9" i="3"/>
  <c r="H58" i="3"/>
  <c r="E58" i="3"/>
  <c r="F58" i="3"/>
  <c r="G58" i="3"/>
  <c r="H57" i="3"/>
  <c r="G57" i="3"/>
  <c r="G56" i="3"/>
  <c r="H51" i="3"/>
  <c r="F51" i="3"/>
  <c r="G51" i="3"/>
  <c r="H50" i="3"/>
  <c r="E50" i="3"/>
  <c r="H49" i="3"/>
  <c r="E49" i="3"/>
  <c r="G49" i="3"/>
  <c r="H25" i="3"/>
  <c r="H7" i="3" l="1"/>
  <c r="G5" i="3"/>
  <c r="G6" i="3" l="1"/>
  <c r="G7" i="3"/>
  <c r="G15" i="3" s="1"/>
  <c r="G35" i="3"/>
  <c r="G36" i="3"/>
  <c r="G45" i="3"/>
  <c r="G46" i="3" s="1"/>
  <c r="G23" i="3" l="1"/>
  <c r="G18" i="3"/>
  <c r="F56" i="3"/>
  <c r="F45" i="3"/>
  <c r="G25" i="3" l="1"/>
  <c r="G26" i="3"/>
  <c r="P64" i="3"/>
  <c r="Q64" i="3"/>
  <c r="Q54" i="3"/>
  <c r="R57" i="3" s="1"/>
  <c r="Q36" i="3"/>
  <c r="Q14" i="3"/>
  <c r="G59" i="3"/>
  <c r="F57" i="3"/>
  <c r="F36" i="3"/>
  <c r="F35" i="3"/>
  <c r="G29" i="3" l="1"/>
  <c r="G31" i="3"/>
  <c r="Q65" i="3"/>
  <c r="Q66" i="3"/>
  <c r="Q67" i="3"/>
  <c r="Q70" i="3"/>
  <c r="F6" i="3"/>
  <c r="Q68" i="3" l="1"/>
  <c r="Q71" i="3"/>
  <c r="Q57" i="3"/>
  <c r="Q43" i="3"/>
  <c r="Q6" i="3"/>
  <c r="L67" i="3"/>
  <c r="L65" i="3"/>
  <c r="B50" i="3"/>
  <c r="B45" i="3"/>
  <c r="L9" i="3"/>
  <c r="L43" i="3"/>
  <c r="L38" i="3"/>
  <c r="L66" i="3" s="1"/>
  <c r="L14" i="3"/>
  <c r="B7" i="3"/>
  <c r="C45" i="3"/>
  <c r="D45" i="3"/>
  <c r="N36" i="3"/>
  <c r="M36" i="3"/>
  <c r="N43" i="3"/>
  <c r="M26" i="3"/>
  <c r="N26" i="3"/>
  <c r="M14" i="3"/>
  <c r="N14" i="3"/>
  <c r="M9" i="3"/>
  <c r="N9" i="3"/>
  <c r="F7" i="3"/>
  <c r="F15" i="3" s="1"/>
  <c r="G16" i="3" s="1"/>
  <c r="E7" i="3"/>
  <c r="E15" i="3" s="1"/>
  <c r="E23" i="3" s="1"/>
  <c r="E2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5" i="3"/>
  <c r="E46" i="3" s="1"/>
  <c r="P36" i="3"/>
  <c r="O36" i="3"/>
  <c r="O43" i="3"/>
  <c r="P43" i="3"/>
  <c r="P26" i="3"/>
  <c r="O26" i="3"/>
  <c r="P14" i="3"/>
  <c r="O14" i="3"/>
  <c r="O9" i="3"/>
  <c r="E57" i="3" s="1"/>
  <c r="P6" i="3"/>
  <c r="O6" i="3"/>
  <c r="C35" i="3"/>
  <c r="D35" i="3"/>
  <c r="E35" i="3"/>
  <c r="E36" i="3"/>
  <c r="E6" i="3"/>
  <c r="E5" i="3"/>
  <c r="F5" i="3"/>
  <c r="N66" i="3"/>
  <c r="O66" i="3"/>
  <c r="P66" i="3"/>
  <c r="M64" i="3"/>
  <c r="N64" i="3"/>
  <c r="O64" i="3"/>
  <c r="M43" i="3"/>
  <c r="L26" i="3"/>
  <c r="M54" i="3"/>
  <c r="N54" i="3"/>
  <c r="O54" i="3"/>
  <c r="P54" i="3"/>
  <c r="L54" i="3"/>
  <c r="P67" i="3"/>
  <c r="P65" i="3"/>
  <c r="Q55" i="3" l="1"/>
  <c r="Q62" i="3"/>
  <c r="Q63" i="3"/>
  <c r="Q48" i="3"/>
  <c r="Q69" i="3" s="1"/>
  <c r="Q49" i="3"/>
  <c r="F17" i="3"/>
  <c r="F16" i="3"/>
  <c r="P48" i="3"/>
  <c r="Q60" i="3"/>
  <c r="O48" i="3"/>
  <c r="L36" i="3"/>
  <c r="L48" i="3" s="1"/>
  <c r="Q58" i="3"/>
  <c r="P55" i="3"/>
  <c r="M66" i="3"/>
  <c r="Q59" i="3"/>
  <c r="Q50" i="3"/>
  <c r="M48" i="3"/>
  <c r="O49" i="3"/>
  <c r="O11" i="3" s="1"/>
  <c r="P49" i="3"/>
  <c r="P11" i="3" s="1"/>
  <c r="N48" i="3"/>
  <c r="D18" i="3"/>
  <c r="D23" i="3"/>
  <c r="D26" i="3" s="1"/>
  <c r="G28" i="3" s="1"/>
  <c r="E26" i="3"/>
  <c r="P70" i="3"/>
  <c r="B15" i="3"/>
  <c r="E17" i="3" s="1"/>
  <c r="O10" i="3"/>
  <c r="O50" i="3"/>
  <c r="P50" i="3"/>
  <c r="E59" i="3"/>
  <c r="F18" i="3"/>
  <c r="F23" i="3"/>
  <c r="D16" i="3"/>
  <c r="C23" i="3"/>
  <c r="E16" i="3"/>
  <c r="E18" i="3"/>
  <c r="P68" i="3"/>
  <c r="P71" i="3"/>
  <c r="O71" i="3"/>
  <c r="N71" i="3"/>
  <c r="M71" i="3"/>
  <c r="P61" i="3"/>
  <c r="P57" i="3"/>
  <c r="F49" i="3"/>
  <c r="E51" i="3"/>
  <c r="D49" i="3"/>
  <c r="D51" i="3" s="1"/>
  <c r="C49" i="3"/>
  <c r="B49" i="3"/>
  <c r="Q11" i="3" l="1"/>
  <c r="Q61" i="3" s="1"/>
  <c r="E27" i="3"/>
  <c r="C16" i="3"/>
  <c r="D25" i="3"/>
  <c r="C25" i="3"/>
  <c r="C26" i="3"/>
  <c r="D27" i="3" s="1"/>
  <c r="E29" i="3"/>
  <c r="E31" i="3"/>
  <c r="D31" i="3"/>
  <c r="G33" i="3" s="1"/>
  <c r="D29" i="3"/>
  <c r="F25" i="3"/>
  <c r="F26" i="3"/>
  <c r="G27" i="3" s="1"/>
  <c r="B18" i="3"/>
  <c r="B23" i="3"/>
  <c r="B26" i="3" s="1"/>
  <c r="B31" i="3" s="1"/>
  <c r="P69" i="3"/>
  <c r="P59" i="3"/>
  <c r="P63" i="3"/>
  <c r="P62" i="3"/>
  <c r="P58" i="3"/>
  <c r="F27" i="3" l="1"/>
  <c r="F29" i="3"/>
  <c r="P60" i="3"/>
  <c r="F28" i="3"/>
  <c r="F31" i="3"/>
  <c r="G32" i="3" s="1"/>
  <c r="C29" i="3"/>
  <c r="C31" i="3"/>
  <c r="D32" i="3" s="1"/>
  <c r="E32" i="3"/>
  <c r="B25" i="3"/>
  <c r="O65" i="3"/>
  <c r="O67" i="3"/>
  <c r="F33" i="3" l="1"/>
  <c r="F32" i="3"/>
  <c r="B29" i="3"/>
  <c r="E28" i="3"/>
  <c r="C27" i="3"/>
  <c r="O68" i="3"/>
  <c r="O57" i="3"/>
  <c r="E33" i="3" l="1"/>
  <c r="C32" i="3"/>
  <c r="M67" i="3"/>
  <c r="M65" i="3"/>
  <c r="M68" i="3" l="1"/>
  <c r="L68" i="3"/>
  <c r="N6" i="3"/>
  <c r="N10" i="3" s="1"/>
  <c r="M6" i="3"/>
  <c r="M10" i="3" s="1"/>
  <c r="L6" i="3"/>
  <c r="L10" i="3" l="1"/>
  <c r="L61" i="3" s="1"/>
  <c r="L63" i="3"/>
  <c r="L60" i="3"/>
  <c r="L50" i="3"/>
  <c r="N60" i="3"/>
  <c r="N50" i="3"/>
  <c r="N61" i="3"/>
  <c r="O60" i="3"/>
  <c r="O61" i="3"/>
  <c r="M60" i="3"/>
  <c r="M50" i="3"/>
  <c r="M61" i="3"/>
  <c r="L55" i="3"/>
  <c r="L58" i="3" s="1"/>
  <c r="M55" i="3"/>
  <c r="N55" i="3"/>
  <c r="N58" i="3" s="1"/>
  <c r="L71" i="3"/>
  <c r="O63" i="3" l="1"/>
  <c r="O70" i="3"/>
  <c r="O62" i="3"/>
  <c r="O59" i="3"/>
  <c r="O55" i="3"/>
  <c r="O58" i="3" s="1"/>
  <c r="O69" i="3" l="1"/>
  <c r="N57" i="3" l="1"/>
  <c r="N65" i="3" l="1"/>
  <c r="L64" i="3"/>
  <c r="M57" i="3"/>
  <c r="L57" i="3"/>
  <c r="L49" i="3"/>
  <c r="L11" i="3" s="1"/>
  <c r="D57" i="3"/>
  <c r="D59" i="3" s="1"/>
  <c r="L70" i="3" l="1"/>
  <c r="B57" i="3"/>
  <c r="B59" i="3" s="1"/>
  <c r="M70" i="3"/>
  <c r="C57" i="3"/>
  <c r="C59" i="3" s="1"/>
  <c r="M49" i="3"/>
  <c r="M11" i="3" s="1"/>
  <c r="N49" i="3"/>
  <c r="N11" i="3" s="1"/>
  <c r="N69" i="3"/>
  <c r="N67" i="3"/>
  <c r="N68" i="3" s="1"/>
  <c r="B51" i="3"/>
  <c r="M63" i="3"/>
  <c r="M62" i="3"/>
  <c r="N70" i="3"/>
  <c r="N63" i="3"/>
  <c r="N62" i="3"/>
  <c r="L62" i="3"/>
  <c r="M69" i="3"/>
  <c r="L69" i="3" l="1"/>
  <c r="N59" i="3"/>
  <c r="L59" i="3"/>
  <c r="M59" i="3"/>
  <c r="M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<sst xmlns="http://schemas.openxmlformats.org/spreadsheetml/2006/main" count="180" uniqueCount="121">
  <si>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</si>
  <si>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</si>
  <si>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</si>
  <si>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</si>
  <si>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</si>
  <si>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</si>
  <si>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</si>
  <si>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</si>
  <si>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</si>
  <si>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</si>
  <si>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</si>
  <si>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</si>
  <si>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</si>
  <si>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</si>
  <si>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</si>
  <si>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</si>
  <si>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</si>
  <si>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</si>
  <si>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</si>
  <si>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</si>
  <si>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</si>
  <si>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</si>
  <si>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</si>
  <si>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</si>
  <si>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</si>
  <si>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</si>
  <si>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</si>
  <si>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</si>
  <si>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</si>
  <si>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</si>
  <si>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</si>
  <si>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</si>
  <si>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</si>
  <si>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</si>
  <si>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</si>
  <si>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</si>
  <si>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</si>
  <si>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</si>
  <si>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</si>
  <si>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</si>
  <si>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</si>
  <si>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</si>
  <si>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</si>
  <si>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</si>
  <si>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</si>
  <si>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</si>
  <si>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</si>
  <si>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</si>
  <si>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</si>
  <si>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</si>
  <si>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</si>
  <si>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</si>
  <si>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</si>
  <si>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</si>
  <si>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</si>
  <si>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</si>
  <si>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CAGR (%) - 5 Years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</si>
  <si>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</si>
  <si>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</si>
  <si>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</si>
  <si>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</si>
  <si>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</si>
  <si>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</si>
  <si>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</si>
  <si>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</si>
  <si>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</si>
  <si>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</si>
  <si>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</si>
  <si>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</si>
  <si>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</si>
  <si>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</si>
  <si>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</si>
  <si>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</si>
  <si>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</si>
  <si>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</si>
  <si>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</si>
  <si>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</si>
  <si>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</si>
  <si>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</si>
  <si>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</si>
  <si>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</si>
  <si>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</si>
  <si>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</si>
  <si>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</si>
  <si>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</si>
  <si>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</si>
  <si>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</si>
  <si>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</si>
  <si>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</si>
  <si>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</si>
  <si>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</si>
  <si>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</si>
  <si>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</si>
  <si>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</si>
  <si>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</si>
  <si>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</si>
  <si>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</si>
  <si>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</si>
  <si>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</si>
  <si>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</si>
  <si>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</si>
  <si>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</si>
  <si>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</si>
  <si>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</si>
  <si>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</si>
  <si>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</si>
  <si>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</si>
  <si>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</si>
  <si>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</si>
  <si>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</si>
  <si>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</si>
  <si>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</si>
  <si>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</si>
  <si>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</si>
  <si>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</si>
  <si>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</si>
  <si>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</si>
  <si>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</si>
  <si>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FY24</t>
  </si>
  <si>
    <t>H1-FY25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</si>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</sst>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7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7" fontId="4" fillId="5" borderId="1" xfId="2" applyNumberFormat="1" applyFont="1" applyFill="1" applyBorder="1" applyAlignment="1">
      <alignment horizontal="center"/>
    </xf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6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43" fontId="4" fillId="5" borderId="1" xfId="2" applyFont="1" applyFill="1" applyBorder="1" applyAlignment="1">
      <alignment horizontal="center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8" fillId="0" borderId="1" xfId="0" applyNumberFormat="1" applyFont="1" applyBorder="1"/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8" borderId="6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12" fillId="7" borderId="1" xfId="0" applyFont="1" applyFill="1" applyBorder="1" applyAlignment="1">
      <alignment wrapText="1"/>
    </xf>
    <xf numFmtId="0" fontId="13" fillId="7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2" fillId="8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67" fontId="4" fillId="3" borderId="1" xfId="4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0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4" fontId="4" fillId="3" borderId="1" xfId="0" applyNumberFormat="1" applyFont="1" applyFill="1" applyBorder="1"/>
    <xf numFmtId="167" fontId="3" fillId="3" borderId="1" xfId="2" applyNumberFormat="1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6" fontId="3" fillId="0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/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10" fontId="3" fillId="3" borderId="1" xfId="1" applyNumberFormat="1" applyFont="1" applyFill="1" applyBorder="1" applyAlignment="1">
      <alignment horizontal="right"/>
    </xf>
    <xf numFmtId="10" fontId="3" fillId="3" borderId="1" xfId="2" applyNumberFormat="1" applyFont="1" applyFill="1" applyBorder="1" applyAlignment="1">
      <alignment horizontal="right"/>
    </xf>
    <xf numFmtId="166" fontId="3" fillId="3" borderId="1" xfId="2" applyNumberFormat="1" applyFont="1" applyFill="1" applyBorder="1" applyAlignment="1">
      <alignment horizontal="right"/>
    </xf>
  </cellXfs>
  <cellStyles count="13">
    <cellStyle name="Comma" xfId="2" builtinId="3"/>
    <cellStyle name="Comma 2" xfId="6"/>
    <cellStyle name="Comma 2 2" xfId="7"/>
    <cellStyle name="Comma 2 2 2" xfId="11"/>
    <cellStyle name="Comma 2 3" xfId="10"/>
    <cellStyle name="Comma 3" xfId="8"/>
    <cellStyle name="Comma 3 2" xfId="12"/>
    <cellStyle name="Comma 4" xfId="9"/>
    <cellStyle name="Comma 5" xfId="5"/>
    <cellStyle name="Good" xfId="4" builtinId="26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78"/>
  <sheetViews>
    <sheetView tabSelected="1" zoomScale="89" zoomScaleNormal="89" zoomScaleSheetLayoutView="91" workbookViewId="0">
      <selection activeCell="R71" sqref="R71"/>
    </sheetView>
  </sheetViews>
  <sheetFormatPr defaultColWidth="9.1328125" defaultRowHeight="15" customHeight="1" x14ac:dyDescent="0.35"/>
  <cols>
    <col min="1" max="1" width="49" style="2" bestFit="1" customWidth="1"/>
    <col min="2" max="2" width="11.1328125" style="2" bestFit="1" customWidth="1"/>
    <col min="3" max="6" width="12" style="2" bestFit="1" customWidth="1"/>
    <col min="7" max="8" width="12" style="2" customWidth="1"/>
    <col min="9" max="9" width="2.265625" style="2" customWidth="1"/>
    <col min="10" max="10" width="0.59765625" style="2" customWidth="1"/>
    <col min="11" max="11" width="55.86328125" style="2" bestFit="1" customWidth="1"/>
    <col min="12" max="12" width="12.265625" style="23" customWidth="1"/>
    <col min="13" max="13" width="12.59765625" style="23" customWidth="1"/>
    <col min="14" max="14" width="12" style="2" bestFit="1" customWidth="1"/>
    <col min="15" max="15" width="9.1328125" style="2" customWidth="1"/>
    <col min="16" max="16" width="10.86328125" style="2" bestFit="1" customWidth="1"/>
    <col min="17" max="17" width="10.86328125" style="2" customWidth="1"/>
    <col min="18" max="18" width="14.86328125" style="2" bestFit="1" customWidth="1"/>
    <col min="19" max="16384" width="9.1328125" style="2"/>
  </cols>
  <sheetData>
    <row r="1" spans="1:18" ht="15" customHeight="1" x14ac:dyDescent="0.35">
      <c r="A1" s="69" t="s">
        <v>103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1"/>
      <c r="Q1" s="1"/>
      <c r="R1" s="1"/>
    </row>
    <row r="2" spans="1:18" ht="15" customHeight="1" x14ac:dyDescent="0.4">
      <c r="A2" s="67" t="s">
        <v>59</v>
      </c>
      <c r="B2" s="68"/>
      <c r="C2" s="68"/>
      <c r="D2" s="68"/>
      <c r="E2" s="68"/>
      <c r="F2" s="3"/>
      <c r="G2" s="3" t="s">
        <v>22</v>
      </c>
      <c r="H2" s="3"/>
      <c r="I2" s="4"/>
      <c r="J2" s="4"/>
      <c r="K2" s="70" t="s">
        <v>60</v>
      </c>
      <c r="L2" s="71"/>
      <c r="M2" s="71"/>
      <c r="N2" s="71"/>
      <c r="O2" s="71"/>
      <c r="P2" s="5"/>
      <c r="Q2" s="5"/>
    </row>
    <row r="3" spans="1:18" ht="15" customHeight="1" x14ac:dyDescent="0.35">
      <c r="A3" s="6" t="s">
        <v>0</v>
      </c>
      <c r="B3" s="7" t="s">
        <v>65</v>
      </c>
      <c r="C3" s="7" t="s">
        <v>70</v>
      </c>
      <c r="D3" s="7" t="s">
        <v>71</v>
      </c>
      <c r="E3" s="7" t="s">
        <v>84</v>
      </c>
      <c r="F3" s="7" t="s">
        <v>85</v>
      </c>
      <c r="G3" s="7" t="s">
        <v>118</v>
      </c>
      <c r="H3" s="7" t="s">
        <v>119</v>
      </c>
      <c r="I3" s="4"/>
      <c r="J3" s="4"/>
      <c r="K3" s="6" t="s">
        <v>0</v>
      </c>
      <c r="L3" s="8" t="s">
        <v>65</v>
      </c>
      <c r="M3" s="8" t="s">
        <v>70</v>
      </c>
      <c r="N3" s="8" t="s">
        <v>71</v>
      </c>
      <c r="O3" s="8" t="s">
        <v>84</v>
      </c>
      <c r="P3" s="8" t="s">
        <v>85</v>
      </c>
      <c r="Q3" s="8" t="s">
        <v>118</v>
      </c>
      <c r="R3" s="7" t="s">
        <v>119</v>
      </c>
    </row>
    <row r="4" spans="1:18" ht="15" customHeight="1" x14ac:dyDescent="0.35">
      <c r="A4" s="9" t="s">
        <v>73</v>
      </c>
      <c r="B4" s="43">
        <v>6563.74</v>
      </c>
      <c r="C4" s="43">
        <v>7256.13</v>
      </c>
      <c r="D4" s="43">
        <v>6220.17</v>
      </c>
      <c r="E4" s="44">
        <v>9043.2199999999993</v>
      </c>
      <c r="F4" s="44">
        <v>11177.1</v>
      </c>
      <c r="G4" s="44">
        <v>10619.1</v>
      </c>
      <c r="H4" s="44">
        <v>3457</v>
      </c>
      <c r="I4" s="10"/>
      <c r="J4" s="10"/>
      <c r="K4" s="11" t="s">
        <v>104</v>
      </c>
      <c r="L4" s="53">
        <v>207.321</v>
      </c>
      <c r="M4" s="53">
        <v>207.321</v>
      </c>
      <c r="N4" s="53">
        <v>207.321</v>
      </c>
      <c r="O4" s="53">
        <v>207.3</v>
      </c>
      <c r="P4" s="53">
        <v>207.3</v>
      </c>
      <c r="Q4" s="53">
        <v>207.3</v>
      </c>
      <c r="R4" s="53">
        <v>207.3</v>
      </c>
    </row>
    <row r="5" spans="1:18" ht="15" customHeight="1" x14ac:dyDescent="0.35">
      <c r="A5" s="25" t="s">
        <v>1</v>
      </c>
      <c r="B5" s="12"/>
      <c r="C5" s="24">
        <f>(C4/B4-1)</f>
        <v>0.10548711557739954</v>
      </c>
      <c r="D5" s="24">
        <f>(D4/C4-1)</f>
        <v>-0.14277031971588161</v>
      </c>
      <c r="E5" s="24">
        <f>(E4/D4-1)</f>
        <v>0.45385415511151606</v>
      </c>
      <c r="F5" s="24">
        <f>(F4/E4-1)</f>
        <v>0.23596462322049017</v>
      </c>
      <c r="G5" s="24">
        <f>(G4/F4-1)</f>
        <v>-4.9923504307915256E-2</v>
      </c>
      <c r="H5" s="24"/>
      <c r="K5" s="11" t="s">
        <v>105</v>
      </c>
      <c r="L5" s="13">
        <v>4629.8950000000004</v>
      </c>
      <c r="M5" s="53">
        <v>5244.415</v>
      </c>
      <c r="N5" s="53">
        <v>5833.58</v>
      </c>
      <c r="O5" s="53">
        <v>6665.3</v>
      </c>
      <c r="P5" s="53">
        <v>7556.7</v>
      </c>
      <c r="Q5" s="53">
        <v>7740.7</v>
      </c>
      <c r="R5" s="53">
        <v>7273.8</v>
      </c>
    </row>
    <row r="6" spans="1:18" ht="15" customHeight="1" x14ac:dyDescent="0.35">
      <c r="A6" s="25" t="s">
        <v>109</v>
      </c>
      <c r="B6" s="12"/>
      <c r="C6" s="24"/>
      <c r="D6" s="24"/>
      <c r="E6" s="24">
        <f>((E4/B4)^(1/3))-1</f>
        <v>0.11273199454547878</v>
      </c>
      <c r="F6" s="24">
        <f>((F4/C4)^(1/3))-1</f>
        <v>0.1548919669407216</v>
      </c>
      <c r="G6" s="24">
        <f>((G4/D4)^(1/3))-1</f>
        <v>0.19516670326884511</v>
      </c>
      <c r="H6" s="24"/>
      <c r="K6" s="9" t="s">
        <v>106</v>
      </c>
      <c r="L6" s="43">
        <f t="shared" ref="L6:Q6" si="0">SUM(L4:L5)</f>
        <v>4837.2160000000003</v>
      </c>
      <c r="M6" s="43">
        <f t="shared" si="0"/>
        <v>5451.7359999999999</v>
      </c>
      <c r="N6" s="43">
        <f t="shared" si="0"/>
        <v>6040.9009999999998</v>
      </c>
      <c r="O6" s="43">
        <f t="shared" si="0"/>
        <v>6872.6</v>
      </c>
      <c r="P6" s="43">
        <f t="shared" si="0"/>
        <v>7764</v>
      </c>
      <c r="Q6" s="43">
        <f t="shared" si="0"/>
        <v>7948</v>
      </c>
      <c r="R6" s="43">
        <v>7481.1</v>
      </c>
    </row>
    <row r="7" spans="1:18" ht="15" customHeight="1" x14ac:dyDescent="0.35">
      <c r="A7" s="9" t="s">
        <v>3</v>
      </c>
      <c r="B7" s="43">
        <f t="shared" ref="B7:F7" si="1">SUM(B8:B14)</f>
        <v>5580.33</v>
      </c>
      <c r="C7" s="43">
        <f t="shared" si="1"/>
        <v>6011.8599999999988</v>
      </c>
      <c r="D7" s="43">
        <f t="shared" si="1"/>
        <v>5064.5410000000002</v>
      </c>
      <c r="E7" s="43">
        <f t="shared" si="1"/>
        <v>7241.0199999999986</v>
      </c>
      <c r="F7" s="43">
        <f t="shared" si="1"/>
        <v>9001.1</v>
      </c>
      <c r="G7" s="43">
        <f>SUM(G8:G14)</f>
        <v>9200.4</v>
      </c>
      <c r="H7" s="43">
        <f>SUM(H8:H14)</f>
        <v>3198</v>
      </c>
      <c r="K7" s="11" t="s">
        <v>23</v>
      </c>
      <c r="L7" s="53">
        <v>128.6</v>
      </c>
      <c r="M7" s="53">
        <v>163.1</v>
      </c>
      <c r="N7" s="53">
        <v>117.3</v>
      </c>
      <c r="O7" s="53">
        <v>83.3</v>
      </c>
      <c r="P7" s="53">
        <v>27</v>
      </c>
      <c r="Q7" s="53">
        <v>0</v>
      </c>
      <c r="R7" s="53">
        <v>0</v>
      </c>
    </row>
    <row r="8" spans="1:18" ht="15" customHeight="1" x14ac:dyDescent="0.35">
      <c r="A8" s="11" t="s">
        <v>75</v>
      </c>
      <c r="B8" s="53">
        <v>1640.5</v>
      </c>
      <c r="C8" s="53">
        <v>1742.65</v>
      </c>
      <c r="D8" s="53">
        <v>1489.44</v>
      </c>
      <c r="E8" s="53">
        <v>982.4</v>
      </c>
      <c r="F8" s="53">
        <v>1394.7</v>
      </c>
      <c r="G8" s="53">
        <v>1168.3</v>
      </c>
      <c r="H8" s="53">
        <v>609</v>
      </c>
      <c r="K8" s="11" t="s">
        <v>24</v>
      </c>
      <c r="L8" s="53">
        <v>317.39999999999998</v>
      </c>
      <c r="M8" s="53">
        <v>154.5</v>
      </c>
      <c r="N8" s="53">
        <v>230.8</v>
      </c>
      <c r="O8" s="53">
        <v>601</v>
      </c>
      <c r="P8" s="53">
        <v>1992.9</v>
      </c>
      <c r="Q8" s="53">
        <v>2169.9</v>
      </c>
      <c r="R8" s="53">
        <v>4637.1000000000004</v>
      </c>
    </row>
    <row r="9" spans="1:18" ht="15" customHeight="1" x14ac:dyDescent="0.35">
      <c r="A9" s="11" t="s">
        <v>76</v>
      </c>
      <c r="B9" s="53">
        <v>1949.83</v>
      </c>
      <c r="C9" s="53">
        <v>2339.81</v>
      </c>
      <c r="D9" s="53">
        <v>1689.45</v>
      </c>
      <c r="E9" s="53">
        <v>4679.7</v>
      </c>
      <c r="F9" s="53">
        <v>6149.3</v>
      </c>
      <c r="G9" s="53">
        <v>4712.7</v>
      </c>
      <c r="H9" s="53">
        <v>2611</v>
      </c>
      <c r="K9" s="9" t="s">
        <v>25</v>
      </c>
      <c r="L9" s="43">
        <f t="shared" ref="L9:O9" si="2">(L7+L8)</f>
        <v>446</v>
      </c>
      <c r="M9" s="43">
        <f t="shared" si="2"/>
        <v>317.60000000000002</v>
      </c>
      <c r="N9" s="43">
        <f t="shared" si="2"/>
        <v>348.1</v>
      </c>
      <c r="O9" s="43">
        <f t="shared" si="2"/>
        <v>684.3</v>
      </c>
      <c r="P9" s="43">
        <f>(P7+P8)</f>
        <v>2019.9</v>
      </c>
      <c r="Q9" s="43">
        <f>(Q7+Q8)</f>
        <v>2169.9</v>
      </c>
      <c r="R9" s="43">
        <f>R7+R8</f>
        <v>4637.1000000000004</v>
      </c>
    </row>
    <row r="10" spans="1:18" ht="15" customHeight="1" x14ac:dyDescent="0.35">
      <c r="A10" s="11" t="s">
        <v>61</v>
      </c>
      <c r="B10" s="53">
        <v>-146.41</v>
      </c>
      <c r="C10" s="53">
        <v>-251.09</v>
      </c>
      <c r="D10" s="53">
        <v>130.995</v>
      </c>
      <c r="E10" s="53">
        <v>-795.65</v>
      </c>
      <c r="F10" s="11">
        <v>-1615.7</v>
      </c>
      <c r="G10" s="11">
        <v>219.9</v>
      </c>
      <c r="H10" s="11">
        <v>-1561</v>
      </c>
      <c r="K10" s="9" t="s">
        <v>26</v>
      </c>
      <c r="L10" s="43">
        <f t="shared" ref="L10:O10" si="3">(L6+L7+L46+L44+L45+L47)</f>
        <v>5152.4859999999999</v>
      </c>
      <c r="M10" s="43">
        <f t="shared" si="3"/>
        <v>6518.3150000000005</v>
      </c>
      <c r="N10" s="43">
        <f t="shared" si="3"/>
        <v>7074.2460000000001</v>
      </c>
      <c r="O10" s="43">
        <f t="shared" si="3"/>
        <v>7953.4000000000005</v>
      </c>
      <c r="P10" s="43">
        <f>(P6+P7+P46+P44+P45+P47)</f>
        <v>9527.1999999999989</v>
      </c>
      <c r="Q10" s="43">
        <f>(Q6+Q7+Q46+Q44+Q45+Q47)</f>
        <v>9917.7000000000007</v>
      </c>
      <c r="R10" s="43">
        <f>(R6+R7+R46+R44+R45+R47)</f>
        <v>9676.1000000000022</v>
      </c>
    </row>
    <row r="11" spans="1:18" ht="15" customHeight="1" x14ac:dyDescent="0.35">
      <c r="A11" s="11" t="s">
        <v>45</v>
      </c>
      <c r="B11" s="53">
        <v>594.91</v>
      </c>
      <c r="C11" s="53">
        <v>696.19</v>
      </c>
      <c r="D11" s="53">
        <v>598.85599999999999</v>
      </c>
      <c r="E11" s="53">
        <v>811.77</v>
      </c>
      <c r="F11" s="53">
        <v>966.1</v>
      </c>
      <c r="G11" s="53">
        <v>1061.3</v>
      </c>
      <c r="H11" s="53">
        <v>583</v>
      </c>
      <c r="K11" s="9" t="s">
        <v>26</v>
      </c>
      <c r="L11" s="43">
        <f t="shared" ref="L11:O11" si="4">L49-L36</f>
        <v>5152.5420000000013</v>
      </c>
      <c r="M11" s="43">
        <f t="shared" si="4"/>
        <v>6518.1810000000005</v>
      </c>
      <c r="N11" s="43">
        <f t="shared" si="4"/>
        <v>7074.1189999999988</v>
      </c>
      <c r="O11" s="43">
        <f t="shared" si="4"/>
        <v>7953.4000000000015</v>
      </c>
      <c r="P11" s="43">
        <f>P49-P36</f>
        <v>9527.2000000000007</v>
      </c>
      <c r="Q11" s="43">
        <f>Q49-Q36</f>
        <v>9917.7000000000007</v>
      </c>
      <c r="R11" s="43">
        <f>R49-R36</f>
        <v>9676.0999999999967</v>
      </c>
    </row>
    <row r="12" spans="1:18" ht="15" customHeight="1" x14ac:dyDescent="0.35">
      <c r="A12" s="11" t="s">
        <v>114</v>
      </c>
      <c r="B12" s="53">
        <v>46.6</v>
      </c>
      <c r="C12" s="53">
        <v>16.2</v>
      </c>
      <c r="D12" s="53">
        <v>18</v>
      </c>
      <c r="E12" s="54" t="s">
        <v>115</v>
      </c>
      <c r="F12" s="54" t="s">
        <v>115</v>
      </c>
      <c r="G12" s="54" t="s">
        <v>115</v>
      </c>
      <c r="H12" s="54"/>
      <c r="K12" s="4"/>
      <c r="L12" s="42"/>
      <c r="M12" s="42"/>
      <c r="N12" s="42"/>
      <c r="O12" s="42"/>
      <c r="P12" s="42"/>
      <c r="Q12" s="42"/>
      <c r="R12" s="42"/>
    </row>
    <row r="13" spans="1:18" ht="15" customHeight="1" x14ac:dyDescent="0.35">
      <c r="A13" s="11" t="s">
        <v>110</v>
      </c>
      <c r="B13" s="53">
        <v>360</v>
      </c>
      <c r="C13" s="54">
        <v>300.7</v>
      </c>
      <c r="D13" s="54">
        <v>110</v>
      </c>
      <c r="E13" s="53">
        <v>240.9</v>
      </c>
      <c r="F13" s="53">
        <v>465.7</v>
      </c>
      <c r="G13" s="53">
        <v>345.8</v>
      </c>
      <c r="H13" s="53">
        <v>188</v>
      </c>
      <c r="L13" s="2"/>
      <c r="M13" s="2"/>
    </row>
    <row r="14" spans="1:18" ht="15" customHeight="1" x14ac:dyDescent="0.35">
      <c r="A14" s="11" t="s">
        <v>46</v>
      </c>
      <c r="B14" s="53">
        <v>1134.9000000000001</v>
      </c>
      <c r="C14" s="53">
        <v>1167.4000000000001</v>
      </c>
      <c r="D14" s="53">
        <v>1027.8</v>
      </c>
      <c r="E14" s="53">
        <v>1321.9</v>
      </c>
      <c r="F14" s="53">
        <v>1641</v>
      </c>
      <c r="G14" s="53">
        <v>1692.4</v>
      </c>
      <c r="H14" s="53">
        <v>768</v>
      </c>
      <c r="K14" s="9" t="s">
        <v>77</v>
      </c>
      <c r="L14" s="43">
        <f t="shared" ref="L14:P14" si="5">SUM(L15:L25)</f>
        <v>2190.5129999999999</v>
      </c>
      <c r="M14" s="43">
        <f t="shared" si="5"/>
        <v>2970.9039999999995</v>
      </c>
      <c r="N14" s="43">
        <f t="shared" si="5"/>
        <v>2573.4279999999994</v>
      </c>
      <c r="O14" s="43">
        <f t="shared" si="5"/>
        <v>3150.7999999999997</v>
      </c>
      <c r="P14" s="43">
        <f t="shared" si="5"/>
        <v>4337.5999999999995</v>
      </c>
      <c r="Q14" s="43">
        <f>SUM(Q15:Q25)</f>
        <v>5320.6</v>
      </c>
      <c r="R14" s="43">
        <f>SUM(R15:R25)</f>
        <v>5803.9</v>
      </c>
    </row>
    <row r="15" spans="1:18" ht="15" customHeight="1" x14ac:dyDescent="0.35">
      <c r="A15" s="9" t="s">
        <v>4</v>
      </c>
      <c r="B15" s="43">
        <f t="shared" ref="B15:E15" si="6">B4-B7</f>
        <v>983.40999999999985</v>
      </c>
      <c r="C15" s="43">
        <f t="shared" si="6"/>
        <v>1244.2700000000013</v>
      </c>
      <c r="D15" s="43">
        <f t="shared" si="6"/>
        <v>1155.6289999999999</v>
      </c>
      <c r="E15" s="43">
        <f t="shared" si="6"/>
        <v>1802.2000000000007</v>
      </c>
      <c r="F15" s="43">
        <f>F4-F7</f>
        <v>2176</v>
      </c>
      <c r="G15" s="43">
        <f>G4-G7</f>
        <v>1418.7000000000007</v>
      </c>
      <c r="H15" s="43">
        <v>260</v>
      </c>
      <c r="K15" s="11" t="s">
        <v>83</v>
      </c>
      <c r="L15" s="53">
        <v>1485.53</v>
      </c>
      <c r="M15" s="53">
        <v>1517.8030000000001</v>
      </c>
      <c r="N15" s="65">
        <v>1492.6869999999999</v>
      </c>
      <c r="O15" s="65">
        <v>1530.5</v>
      </c>
      <c r="P15" s="65">
        <v>1554.1</v>
      </c>
      <c r="Q15" s="65">
        <v>1786.2</v>
      </c>
      <c r="R15" s="65">
        <v>1757.6</v>
      </c>
    </row>
    <row r="16" spans="1:18" ht="15" customHeight="1" x14ac:dyDescent="0.35">
      <c r="A16" s="25" t="s">
        <v>1</v>
      </c>
      <c r="B16" s="12"/>
      <c r="C16" s="24">
        <f>(C15/B15-1)</f>
        <v>0.26526067459147407</v>
      </c>
      <c r="D16" s="24">
        <f>(D15/C15-1)</f>
        <v>-7.123936123188801E-2</v>
      </c>
      <c r="E16" s="24">
        <f>(E15/D15-1)</f>
        <v>0.55949703581339771</v>
      </c>
      <c r="F16" s="24">
        <f>(F15/E15-1)</f>
        <v>0.20741316169126578</v>
      </c>
      <c r="G16" s="24">
        <f>(G15/F15-1)</f>
        <v>-0.3480238970588232</v>
      </c>
      <c r="H16" s="24"/>
      <c r="K16" s="11" t="s">
        <v>81</v>
      </c>
      <c r="L16" s="53">
        <v>0</v>
      </c>
      <c r="M16" s="53">
        <v>758.57399999999996</v>
      </c>
      <c r="N16" s="53">
        <v>752.12</v>
      </c>
      <c r="O16" s="53">
        <v>784.2</v>
      </c>
      <c r="P16" s="65">
        <v>1181.3</v>
      </c>
      <c r="Q16" s="65">
        <v>1469.7</v>
      </c>
      <c r="R16" s="65">
        <v>1789.7</v>
      </c>
    </row>
    <row r="17" spans="1:18" ht="15" customHeight="1" x14ac:dyDescent="0.35">
      <c r="A17" s="25" t="s">
        <v>109</v>
      </c>
      <c r="B17" s="12"/>
      <c r="C17" s="24"/>
      <c r="D17" s="24"/>
      <c r="E17" s="24">
        <f>((E15/B15)^(1/3))-1</f>
        <v>0.22374084291082408</v>
      </c>
      <c r="F17" s="24">
        <f>((F15/C15)^(1/3))-1</f>
        <v>0.20479943062601258</v>
      </c>
      <c r="G17" s="24">
        <f>((G15/D15)^(1/3))-1</f>
        <v>7.0756482451503011E-2</v>
      </c>
      <c r="H17" s="24"/>
      <c r="K17" s="11" t="s">
        <v>63</v>
      </c>
      <c r="L17" s="53">
        <v>0.23799999999999999</v>
      </c>
      <c r="M17" s="53">
        <v>24.853999999999999</v>
      </c>
      <c r="N17" s="53">
        <v>11.6</v>
      </c>
      <c r="O17" s="53">
        <v>12.7</v>
      </c>
      <c r="P17" s="65">
        <v>193.7</v>
      </c>
      <c r="Q17" s="65">
        <v>0.8</v>
      </c>
      <c r="R17" s="65">
        <v>5.5</v>
      </c>
    </row>
    <row r="18" spans="1:18" ht="15" customHeight="1" x14ac:dyDescent="0.35">
      <c r="A18" s="9" t="s">
        <v>5</v>
      </c>
      <c r="B18" s="45">
        <f t="shared" ref="B18:F18" si="7">(B15/B4)</f>
        <v>0.1498246426579968</v>
      </c>
      <c r="C18" s="45">
        <f t="shared" si="7"/>
        <v>0.17147846028116934</v>
      </c>
      <c r="D18" s="45">
        <f t="shared" si="7"/>
        <v>0.18578736594015918</v>
      </c>
      <c r="E18" s="45">
        <f t="shared" si="7"/>
        <v>0.19928742195810795</v>
      </c>
      <c r="F18" s="45">
        <f t="shared" si="7"/>
        <v>0.19468377307172702</v>
      </c>
      <c r="G18" s="45">
        <f>(G15/G4)</f>
        <v>0.13359889256151658</v>
      </c>
      <c r="H18" s="45">
        <v>7.5200000000000003E-2</v>
      </c>
      <c r="K18" s="11" t="s">
        <v>86</v>
      </c>
      <c r="L18" s="53">
        <v>9.4359999999999999</v>
      </c>
      <c r="M18" s="53">
        <v>5.758</v>
      </c>
      <c r="N18" s="53">
        <v>3.601</v>
      </c>
      <c r="O18" s="53">
        <v>3.6</v>
      </c>
      <c r="P18" s="65">
        <v>73.7</v>
      </c>
      <c r="Q18" s="65">
        <v>59.7</v>
      </c>
      <c r="R18" s="65">
        <v>52.4</v>
      </c>
    </row>
    <row r="19" spans="1:18" ht="15" customHeight="1" x14ac:dyDescent="0.35">
      <c r="A19" s="11" t="s">
        <v>6</v>
      </c>
      <c r="B19" s="13">
        <v>182.28</v>
      </c>
      <c r="C19" s="13">
        <v>115.17</v>
      </c>
      <c r="D19" s="13">
        <v>201.70699999999999</v>
      </c>
      <c r="E19" s="13">
        <v>252</v>
      </c>
      <c r="F19" s="13">
        <v>208.3</v>
      </c>
      <c r="G19" s="13">
        <v>275</v>
      </c>
      <c r="H19" s="13">
        <v>165</v>
      </c>
      <c r="K19" s="11" t="s">
        <v>87</v>
      </c>
      <c r="L19" s="53">
        <v>0</v>
      </c>
      <c r="M19" s="53">
        <v>0</v>
      </c>
      <c r="N19" s="53">
        <v>0</v>
      </c>
      <c r="O19" s="53">
        <v>18.3</v>
      </c>
      <c r="P19" s="65">
        <v>0</v>
      </c>
      <c r="Q19" s="65">
        <v>0</v>
      </c>
      <c r="R19" s="65">
        <v>0</v>
      </c>
    </row>
    <row r="20" spans="1:18" ht="15" customHeight="1" x14ac:dyDescent="0.35">
      <c r="A20" s="11" t="s">
        <v>7</v>
      </c>
      <c r="B20" s="13">
        <v>191</v>
      </c>
      <c r="C20" s="13">
        <v>334</v>
      </c>
      <c r="D20" s="13">
        <v>342.00299999999999</v>
      </c>
      <c r="E20" s="13">
        <v>372.529</v>
      </c>
      <c r="F20" s="13">
        <v>417.7</v>
      </c>
      <c r="G20" s="13">
        <v>512.20000000000005</v>
      </c>
      <c r="H20" s="13">
        <v>282</v>
      </c>
      <c r="K20" s="41" t="s">
        <v>116</v>
      </c>
      <c r="L20" s="53">
        <v>42.6</v>
      </c>
      <c r="M20" s="53">
        <v>40.299999999999997</v>
      </c>
      <c r="N20" s="53">
        <v>57.7</v>
      </c>
      <c r="O20" s="53">
        <v>0</v>
      </c>
      <c r="P20" s="65">
        <v>0</v>
      </c>
      <c r="Q20" s="65">
        <v>0</v>
      </c>
      <c r="R20" s="65">
        <v>0</v>
      </c>
    </row>
    <row r="21" spans="1:18" ht="15" customHeight="1" x14ac:dyDescent="0.35">
      <c r="A21" s="11" t="s">
        <v>62</v>
      </c>
      <c r="B21" s="13">
        <v>89.46</v>
      </c>
      <c r="C21" s="13">
        <v>170.1</v>
      </c>
      <c r="D21" s="13">
        <v>135.10400000000001</v>
      </c>
      <c r="E21" s="13">
        <v>156.9</v>
      </c>
      <c r="F21" s="13">
        <v>244.5</v>
      </c>
      <c r="G21" s="13">
        <v>374.8</v>
      </c>
      <c r="H21" s="13">
        <v>211</v>
      </c>
      <c r="K21" s="11" t="s">
        <v>112</v>
      </c>
      <c r="L21" s="13">
        <v>477.2</v>
      </c>
      <c r="M21" s="13">
        <v>357.1</v>
      </c>
      <c r="N21" s="66">
        <v>39.200000000000003</v>
      </c>
      <c r="O21" s="66">
        <v>543.6</v>
      </c>
      <c r="P21" s="53">
        <v>638</v>
      </c>
      <c r="Q21" s="53">
        <v>1045.9000000000001</v>
      </c>
      <c r="R21" s="53">
        <v>985.4</v>
      </c>
    </row>
    <row r="22" spans="1:18" ht="15" customHeight="1" x14ac:dyDescent="0.35">
      <c r="A22" s="11" t="s">
        <v>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 t="s">
        <v>115</v>
      </c>
      <c r="K22" s="11" t="s">
        <v>113</v>
      </c>
      <c r="L22" s="13">
        <v>0.86</v>
      </c>
      <c r="M22" s="13">
        <v>81.2</v>
      </c>
      <c r="N22" s="11">
        <v>100.5</v>
      </c>
      <c r="O22" s="11">
        <v>71.900000000000006</v>
      </c>
      <c r="P22" s="53">
        <v>366.7</v>
      </c>
      <c r="Q22" s="53">
        <v>407.3</v>
      </c>
      <c r="R22" s="53">
        <v>426.5</v>
      </c>
    </row>
    <row r="23" spans="1:18" ht="15" customHeight="1" x14ac:dyDescent="0.35">
      <c r="A23" s="9" t="s">
        <v>9</v>
      </c>
      <c r="B23" s="43">
        <f t="shared" ref="B23:F23" si="8">B15+B19-B20-B21</f>
        <v>885.22999999999979</v>
      </c>
      <c r="C23" s="43">
        <f t="shared" si="8"/>
        <v>855.3400000000014</v>
      </c>
      <c r="D23" s="43">
        <f t="shared" si="8"/>
        <v>880.22899999999981</v>
      </c>
      <c r="E23" s="43">
        <f t="shared" si="8"/>
        <v>1524.7710000000006</v>
      </c>
      <c r="F23" s="43">
        <f t="shared" si="8"/>
        <v>1722.1000000000001</v>
      </c>
      <c r="G23" s="43">
        <f>G15+G19-G20-G21</f>
        <v>806.70000000000073</v>
      </c>
      <c r="H23" s="43">
        <v>-68</v>
      </c>
      <c r="K23" s="11" t="s">
        <v>89</v>
      </c>
      <c r="L23" s="54">
        <v>90.79</v>
      </c>
      <c r="M23" s="53">
        <v>88.953999999999994</v>
      </c>
      <c r="N23" s="53">
        <v>0</v>
      </c>
      <c r="O23" s="53">
        <v>24.8</v>
      </c>
      <c r="P23" s="53">
        <v>23.7</v>
      </c>
      <c r="Q23" s="53">
        <v>153.1</v>
      </c>
      <c r="R23" s="53">
        <v>314.39999999999998</v>
      </c>
    </row>
    <row r="24" spans="1:18" ht="15" customHeight="1" x14ac:dyDescent="0.35">
      <c r="A24" s="11" t="s">
        <v>10</v>
      </c>
      <c r="B24" s="53">
        <v>289.32600000000002</v>
      </c>
      <c r="C24" s="53">
        <v>228.39099999999999</v>
      </c>
      <c r="D24" s="53">
        <v>217.249</v>
      </c>
      <c r="E24" s="53">
        <v>385.392</v>
      </c>
      <c r="F24" s="53">
        <v>396.9</v>
      </c>
      <c r="G24" s="53">
        <v>207.3</v>
      </c>
      <c r="H24" s="53">
        <v>-16</v>
      </c>
      <c r="K24" s="11" t="s">
        <v>90</v>
      </c>
      <c r="L24" s="53">
        <v>71.206000000000003</v>
      </c>
      <c r="M24" s="53">
        <v>79.161000000000001</v>
      </c>
      <c r="N24" s="53">
        <v>91.228999999999999</v>
      </c>
      <c r="O24" s="53">
        <v>129.1</v>
      </c>
      <c r="P24" s="53">
        <v>222.6</v>
      </c>
      <c r="Q24" s="53">
        <v>254.2</v>
      </c>
      <c r="R24" s="53">
        <v>271.39999999999998</v>
      </c>
    </row>
    <row r="25" spans="1:18" ht="15" customHeight="1" x14ac:dyDescent="0.35">
      <c r="A25" s="25" t="s">
        <v>11</v>
      </c>
      <c r="B25" s="46">
        <f t="shared" ref="B25:G25" si="9">(B24/B23)</f>
        <v>0.32683709318482213</v>
      </c>
      <c r="C25" s="46">
        <f t="shared" si="9"/>
        <v>0.2670177940935764</v>
      </c>
      <c r="D25" s="46">
        <f t="shared" si="9"/>
        <v>0.24680963703763456</v>
      </c>
      <c r="E25" s="46">
        <f t="shared" si="9"/>
        <v>0.25275402011187242</v>
      </c>
      <c r="F25" s="46">
        <f t="shared" si="9"/>
        <v>0.23047442076534461</v>
      </c>
      <c r="G25" s="46">
        <f t="shared" si="9"/>
        <v>0.25697285236147244</v>
      </c>
      <c r="H25" s="46">
        <f>(H24/H23)</f>
        <v>0.23529411764705882</v>
      </c>
      <c r="K25" s="11" t="s">
        <v>64</v>
      </c>
      <c r="L25" s="53">
        <v>12.653</v>
      </c>
      <c r="M25" s="53">
        <v>17.2</v>
      </c>
      <c r="N25" s="53">
        <v>24.791</v>
      </c>
      <c r="O25" s="53">
        <v>32.1</v>
      </c>
      <c r="P25" s="53">
        <v>83.8</v>
      </c>
      <c r="Q25" s="53">
        <v>143.69999999999999</v>
      </c>
      <c r="R25" s="53">
        <v>201</v>
      </c>
    </row>
    <row r="26" spans="1:18" ht="15" customHeight="1" x14ac:dyDescent="0.35">
      <c r="A26" s="9" t="s">
        <v>107</v>
      </c>
      <c r="B26" s="43">
        <f t="shared" ref="B26:F26" si="10">B23-B24</f>
        <v>595.90399999999977</v>
      </c>
      <c r="C26" s="43">
        <f t="shared" si="10"/>
        <v>626.94900000000143</v>
      </c>
      <c r="D26" s="43">
        <f t="shared" si="10"/>
        <v>662.97999999999979</v>
      </c>
      <c r="E26" s="43">
        <f t="shared" si="10"/>
        <v>1139.3790000000006</v>
      </c>
      <c r="F26" s="43">
        <f t="shared" si="10"/>
        <v>1325.2000000000003</v>
      </c>
      <c r="G26" s="43">
        <f>G23-G24</f>
        <v>599.40000000000077</v>
      </c>
      <c r="H26" s="43">
        <v>-52</v>
      </c>
      <c r="K26" s="9" t="s">
        <v>78</v>
      </c>
      <c r="L26" s="43">
        <f t="shared" ref="L26" si="11">SUM(L27:L35)</f>
        <v>5692.8810000000012</v>
      </c>
      <c r="M26" s="43">
        <f t="shared" ref="M26:R26" si="12">SUM(M27:M35)</f>
        <v>6133.4100000000008</v>
      </c>
      <c r="N26" s="43">
        <f t="shared" si="12"/>
        <v>6792.4609999999993</v>
      </c>
      <c r="O26" s="43">
        <f t="shared" si="12"/>
        <v>8014.4000000000005</v>
      </c>
      <c r="P26" s="43">
        <f t="shared" si="12"/>
        <v>10626.6</v>
      </c>
      <c r="Q26" s="43">
        <f t="shared" si="12"/>
        <v>9840.1</v>
      </c>
      <c r="R26" s="43">
        <f t="shared" si="12"/>
        <v>11967.299999999997</v>
      </c>
    </row>
    <row r="27" spans="1:18" ht="15" customHeight="1" x14ac:dyDescent="0.35">
      <c r="A27" s="25" t="s">
        <v>1</v>
      </c>
      <c r="B27" s="24"/>
      <c r="C27" s="24">
        <f>C26/B26-1</f>
        <v>5.2097317688758027E-2</v>
      </c>
      <c r="D27" s="24">
        <f>D26/C26-1</f>
        <v>5.7470384353429438E-2</v>
      </c>
      <c r="E27" s="24">
        <f>E26/D26-1</f>
        <v>0.71857220428972357</v>
      </c>
      <c r="F27" s="24">
        <f>F26/E26-1</f>
        <v>0.16308971817103846</v>
      </c>
      <c r="G27" s="24">
        <f>G26/F26-1</f>
        <v>-0.54769091457893104</v>
      </c>
      <c r="H27" s="24"/>
      <c r="K27" s="11" t="s">
        <v>27</v>
      </c>
      <c r="L27" s="53">
        <v>1911.578</v>
      </c>
      <c r="M27" s="53">
        <v>2161.8209999999999</v>
      </c>
      <c r="N27" s="53">
        <v>2015.3920000000001</v>
      </c>
      <c r="O27" s="53">
        <v>2890.8</v>
      </c>
      <c r="P27" s="53">
        <v>4604.2</v>
      </c>
      <c r="Q27" s="53">
        <v>4346.2</v>
      </c>
      <c r="R27" s="53">
        <v>5898.2</v>
      </c>
    </row>
    <row r="28" spans="1:18" ht="15" customHeight="1" x14ac:dyDescent="0.35">
      <c r="A28" s="25" t="s">
        <v>2</v>
      </c>
      <c r="B28" s="24"/>
      <c r="C28" s="24"/>
      <c r="D28" s="24"/>
      <c r="E28" s="24">
        <f>((E26/B26)-1)^(1/3)</f>
        <v>0.96976779347997166</v>
      </c>
      <c r="F28" s="24">
        <f>((F26/C26)-1)^(1/3)</f>
        <v>1.0365568296339362</v>
      </c>
      <c r="G28" s="24">
        <f>((G26/D26)-1)^(1/3)</f>
        <v>-0.45772717684071723</v>
      </c>
      <c r="H28" s="24"/>
      <c r="K28" s="41" t="s">
        <v>88</v>
      </c>
      <c r="L28" s="13"/>
      <c r="M28" s="13"/>
      <c r="N28" s="11"/>
      <c r="O28" s="11"/>
      <c r="P28" s="11"/>
      <c r="Q28" s="11"/>
      <c r="R28" s="11"/>
    </row>
    <row r="29" spans="1:18" ht="15" customHeight="1" x14ac:dyDescent="0.35">
      <c r="A29" s="9" t="s">
        <v>54</v>
      </c>
      <c r="B29" s="47">
        <f t="shared" ref="B29:F29" si="13">(B26/B4)</f>
        <v>9.0787264577816884E-2</v>
      </c>
      <c r="C29" s="47">
        <f t="shared" si="13"/>
        <v>8.640266919142868E-2</v>
      </c>
      <c r="D29" s="47">
        <f t="shared" si="13"/>
        <v>0.10658551132846848</v>
      </c>
      <c r="E29" s="47">
        <f t="shared" si="13"/>
        <v>0.12599262209699649</v>
      </c>
      <c r="F29" s="47">
        <f t="shared" si="13"/>
        <v>0.11856384929901319</v>
      </c>
      <c r="G29" s="47">
        <f>(G26/G4)</f>
        <v>5.6445461479786491E-2</v>
      </c>
      <c r="H29" s="47">
        <v>-1.4999999999999999E-2</v>
      </c>
      <c r="K29" s="11" t="s">
        <v>82</v>
      </c>
      <c r="L29" s="53">
        <v>898.08199999999999</v>
      </c>
      <c r="M29" s="53">
        <v>979.35400000000004</v>
      </c>
      <c r="N29" s="53">
        <v>1735.9590000000001</v>
      </c>
      <c r="O29" s="53">
        <v>1630.8</v>
      </c>
      <c r="P29" s="53">
        <v>1701.2</v>
      </c>
      <c r="Q29" s="53">
        <v>1207.3</v>
      </c>
      <c r="R29" s="53">
        <v>1410.9</v>
      </c>
    </row>
    <row r="30" spans="1:18" ht="15" customHeight="1" x14ac:dyDescent="0.35">
      <c r="A30" s="11" t="s">
        <v>47</v>
      </c>
      <c r="B30" s="53">
        <v>-4.1100000000000003</v>
      </c>
      <c r="C30" s="53">
        <v>-7.6219999999999999</v>
      </c>
      <c r="D30" s="53">
        <v>29.884</v>
      </c>
      <c r="E30" s="53">
        <v>3.3010000000000002</v>
      </c>
      <c r="F30" s="53">
        <v>-18.899999999999999</v>
      </c>
      <c r="G30" s="53">
        <v>-0.6</v>
      </c>
      <c r="H30" s="53"/>
      <c r="K30" s="11" t="s">
        <v>74</v>
      </c>
      <c r="L30" s="53">
        <v>2198.5279999999998</v>
      </c>
      <c r="M30" s="53">
        <v>2521.672</v>
      </c>
      <c r="N30" s="53">
        <v>2294.9969999999998</v>
      </c>
      <c r="O30" s="53">
        <v>2599.1</v>
      </c>
      <c r="P30" s="53">
        <v>3801.8</v>
      </c>
      <c r="Q30" s="53">
        <v>3700.8</v>
      </c>
      <c r="R30" s="53">
        <v>3763.9</v>
      </c>
    </row>
    <row r="31" spans="1:18" ht="15" customHeight="1" x14ac:dyDescent="0.35">
      <c r="A31" s="9" t="s">
        <v>111</v>
      </c>
      <c r="B31" s="48">
        <f t="shared" ref="B31:F31" si="14">B26+B30</f>
        <v>591.79399999999976</v>
      </c>
      <c r="C31" s="48">
        <f t="shared" si="14"/>
        <v>619.32700000000148</v>
      </c>
      <c r="D31" s="48">
        <f t="shared" si="14"/>
        <v>692.86399999999981</v>
      </c>
      <c r="E31" s="48">
        <f t="shared" si="14"/>
        <v>1142.6800000000005</v>
      </c>
      <c r="F31" s="48">
        <f t="shared" si="14"/>
        <v>1306.3000000000002</v>
      </c>
      <c r="G31" s="48">
        <f>G26+G30</f>
        <v>598.80000000000075</v>
      </c>
      <c r="H31" s="48">
        <v>-52</v>
      </c>
      <c r="K31" s="11" t="s">
        <v>28</v>
      </c>
      <c r="L31" s="53">
        <v>326.55399999999997</v>
      </c>
      <c r="M31" s="53">
        <v>13.443</v>
      </c>
      <c r="N31" s="53">
        <v>4.4459999999999997</v>
      </c>
      <c r="O31" s="53">
        <v>4.2</v>
      </c>
      <c r="P31" s="53">
        <v>17.100000000000001</v>
      </c>
      <c r="Q31" s="53">
        <v>14.8</v>
      </c>
      <c r="R31" s="53">
        <v>6.8</v>
      </c>
    </row>
    <row r="32" spans="1:18" ht="15" customHeight="1" x14ac:dyDescent="0.35">
      <c r="A32" s="25" t="s">
        <v>1</v>
      </c>
      <c r="B32" s="24"/>
      <c r="C32" s="24">
        <f>C31/B31-1</f>
        <v>4.6524635261597336E-2</v>
      </c>
      <c r="D32" s="24">
        <f>D31/C31-1</f>
        <v>0.11873695156193431</v>
      </c>
      <c r="E32" s="24">
        <f>E31/D31-1</f>
        <v>0.64921254387585559</v>
      </c>
      <c r="F32" s="24">
        <f>F31/E31-1</f>
        <v>0.14318969440263207</v>
      </c>
      <c r="G32" s="24">
        <f>G31/F31-1</f>
        <v>-0.54160606292582059</v>
      </c>
      <c r="H32" s="24"/>
      <c r="K32" s="11" t="s">
        <v>91</v>
      </c>
      <c r="L32" s="53">
        <v>22.536000000000001</v>
      </c>
      <c r="M32" s="53">
        <v>114.229</v>
      </c>
      <c r="N32" s="53">
        <v>404.10199999999998</v>
      </c>
      <c r="O32" s="53">
        <v>476</v>
      </c>
      <c r="P32" s="53">
        <v>129.80000000000001</v>
      </c>
      <c r="Q32" s="53">
        <v>67.2</v>
      </c>
      <c r="R32" s="53">
        <v>75.3</v>
      </c>
    </row>
    <row r="33" spans="1:18" ht="15" customHeight="1" x14ac:dyDescent="0.35">
      <c r="A33" s="25" t="s">
        <v>2</v>
      </c>
      <c r="B33" s="24"/>
      <c r="C33" s="24"/>
      <c r="D33" s="24"/>
      <c r="E33" s="24">
        <f>((E31/B31)^(1/3))-1</f>
        <v>0.24523510661878456</v>
      </c>
      <c r="F33" s="24">
        <f>((F31/C31)^(1/3))-1</f>
        <v>0.28245156247158842</v>
      </c>
      <c r="G33" s="24">
        <f>((G31/D31)^(1/3))-1</f>
        <v>-4.7471603407050922E-2</v>
      </c>
      <c r="H33" s="24"/>
      <c r="K33" s="11" t="s">
        <v>92</v>
      </c>
      <c r="L33" s="53">
        <v>11.904</v>
      </c>
      <c r="M33" s="53">
        <v>5.649</v>
      </c>
      <c r="N33" s="53">
        <v>4.3</v>
      </c>
      <c r="O33" s="53">
        <v>4.2</v>
      </c>
      <c r="P33" s="53">
        <v>6</v>
      </c>
      <c r="Q33" s="53">
        <v>6.1</v>
      </c>
      <c r="R33" s="53">
        <v>3.6</v>
      </c>
    </row>
    <row r="34" spans="1:18" ht="15" customHeight="1" x14ac:dyDescent="0.35">
      <c r="A34" s="14" t="s">
        <v>12</v>
      </c>
      <c r="B34" s="50">
        <v>26.85</v>
      </c>
      <c r="C34" s="50">
        <v>30.24</v>
      </c>
      <c r="D34" s="50">
        <v>31.98</v>
      </c>
      <c r="E34" s="50">
        <v>54.95</v>
      </c>
      <c r="F34" s="50">
        <v>63.92</v>
      </c>
      <c r="G34" s="50">
        <v>28.91</v>
      </c>
      <c r="H34" s="50">
        <v>-2.52</v>
      </c>
      <c r="K34" s="27" t="s">
        <v>93</v>
      </c>
      <c r="L34" s="53">
        <v>5.4480000000000004</v>
      </c>
      <c r="M34" s="53">
        <v>13.569000000000001</v>
      </c>
      <c r="N34" s="53">
        <v>36.345999999999997</v>
      </c>
      <c r="O34" s="53">
        <v>77.3</v>
      </c>
      <c r="P34" s="53">
        <v>128</v>
      </c>
      <c r="Q34" s="53">
        <v>133</v>
      </c>
      <c r="R34" s="53">
        <v>137.30000000000001</v>
      </c>
    </row>
    <row r="35" spans="1:18" ht="15" customHeight="1" x14ac:dyDescent="0.35">
      <c r="A35" s="25" t="s">
        <v>1</v>
      </c>
      <c r="B35" s="26"/>
      <c r="C35" s="26">
        <f>(C34/B34-1)</f>
        <v>0.12625698324022339</v>
      </c>
      <c r="D35" s="26">
        <f>(D34/C34-1)</f>
        <v>5.7539682539682557E-2</v>
      </c>
      <c r="E35" s="26">
        <f>(E34/D34-1)</f>
        <v>0.71826141338336469</v>
      </c>
      <c r="F35" s="26">
        <f>(F34/E34-1)</f>
        <v>0.16323930846223833</v>
      </c>
      <c r="G35" s="26">
        <f>G34/F34-1</f>
        <v>-0.54771589486858574</v>
      </c>
      <c r="H35" s="26"/>
      <c r="K35" s="11" t="s">
        <v>94</v>
      </c>
      <c r="L35" s="53">
        <v>318.25099999999998</v>
      </c>
      <c r="M35" s="53">
        <v>323.673</v>
      </c>
      <c r="N35" s="53">
        <v>296.91899999999998</v>
      </c>
      <c r="O35" s="53">
        <v>332</v>
      </c>
      <c r="P35" s="53">
        <v>238.5</v>
      </c>
      <c r="Q35" s="53">
        <v>364.7</v>
      </c>
      <c r="R35" s="53">
        <v>671.3</v>
      </c>
    </row>
    <row r="36" spans="1:18" ht="15" customHeight="1" x14ac:dyDescent="0.35">
      <c r="A36" s="25" t="s">
        <v>56</v>
      </c>
      <c r="B36" s="26"/>
      <c r="C36" s="26"/>
      <c r="D36" s="26"/>
      <c r="E36" s="26">
        <f>((E34/B34)-1)^(1/3)</f>
        <v>1.0152835351520628</v>
      </c>
      <c r="F36" s="26">
        <f>((F34/C34)-1)^(1/3)</f>
        <v>1.0365655362981703</v>
      </c>
      <c r="G36" s="26">
        <f>((G34/D34)-1)^(1/3)</f>
        <v>-0.45788171979881287</v>
      </c>
      <c r="H36" s="26"/>
      <c r="K36" s="9" t="s">
        <v>79</v>
      </c>
      <c r="L36" s="43">
        <f t="shared" ref="L36:P36" si="15">L37+L38+L39+L40+L41+L42+L8</f>
        <v>2730.8519999999999</v>
      </c>
      <c r="M36" s="43">
        <f t="shared" si="15"/>
        <v>2586.1329999999998</v>
      </c>
      <c r="N36" s="43">
        <f t="shared" si="15"/>
        <v>2291.7700000000004</v>
      </c>
      <c r="O36" s="43">
        <f t="shared" si="15"/>
        <v>3211.7999999999997</v>
      </c>
      <c r="P36" s="43">
        <f t="shared" si="15"/>
        <v>5437</v>
      </c>
      <c r="Q36" s="43">
        <f>Q37+Q38+Q39+Q40+Q41+Q42+Q8</f>
        <v>5243</v>
      </c>
      <c r="R36" s="43">
        <f>R37+R38+R39+R40+R41+R42+R8</f>
        <v>8095.1</v>
      </c>
    </row>
    <row r="37" spans="1:18" ht="15" customHeight="1" x14ac:dyDescent="0.35">
      <c r="K37" s="11" t="s">
        <v>99</v>
      </c>
      <c r="L37" s="53">
        <v>0</v>
      </c>
      <c r="M37" s="13">
        <v>99.965999999999994</v>
      </c>
      <c r="N37" s="65">
        <v>115.70099999999999</v>
      </c>
      <c r="O37" s="65">
        <v>131.5</v>
      </c>
      <c r="P37" s="65">
        <v>182.7</v>
      </c>
      <c r="Q37" s="65">
        <v>364.6</v>
      </c>
      <c r="R37" s="65">
        <v>429.7</v>
      </c>
    </row>
    <row r="38" spans="1:18" ht="15" customHeight="1" x14ac:dyDescent="0.35">
      <c r="K38" s="11" t="s">
        <v>100</v>
      </c>
      <c r="L38" s="53">
        <f>23.09+1322.4</f>
        <v>1345.49</v>
      </c>
      <c r="M38" s="13">
        <v>1673.6</v>
      </c>
      <c r="N38" s="53">
        <v>1387.16</v>
      </c>
      <c r="O38" s="53">
        <v>1386.4</v>
      </c>
      <c r="P38" s="65">
        <v>1939.9</v>
      </c>
      <c r="Q38" s="65">
        <f>342.8+1072</f>
        <v>1414.8</v>
      </c>
      <c r="R38" s="65">
        <f>376.5+1211.1</f>
        <v>1587.6</v>
      </c>
    </row>
    <row r="39" spans="1:18" ht="15" customHeight="1" x14ac:dyDescent="0.35">
      <c r="A39" s="15" t="s">
        <v>13</v>
      </c>
      <c r="B39" s="15"/>
      <c r="C39" s="15"/>
      <c r="D39" s="15"/>
      <c r="E39" s="15"/>
      <c r="F39" s="15"/>
      <c r="G39" s="15"/>
      <c r="H39" s="15"/>
      <c r="K39" s="11" t="s">
        <v>69</v>
      </c>
      <c r="L39" s="53">
        <v>985.43600000000004</v>
      </c>
      <c r="M39" s="13">
        <v>543.77800000000002</v>
      </c>
      <c r="N39" s="53">
        <v>427.38299999999998</v>
      </c>
      <c r="O39" s="53">
        <v>201</v>
      </c>
      <c r="P39" s="65">
        <v>182.2</v>
      </c>
      <c r="Q39" s="65">
        <v>149.19999999999999</v>
      </c>
      <c r="R39" s="65">
        <v>179.1</v>
      </c>
    </row>
    <row r="40" spans="1:18" ht="15" customHeight="1" x14ac:dyDescent="0.35">
      <c r="A40" s="6" t="s">
        <v>0</v>
      </c>
      <c r="B40" s="16" t="s">
        <v>65</v>
      </c>
      <c r="C40" s="16" t="s">
        <v>70</v>
      </c>
      <c r="D40" s="16" t="s">
        <v>71</v>
      </c>
      <c r="E40" s="16" t="s">
        <v>84</v>
      </c>
      <c r="F40" s="16" t="s">
        <v>85</v>
      </c>
      <c r="G40" s="16" t="s">
        <v>118</v>
      </c>
      <c r="H40" s="7" t="s">
        <v>119</v>
      </c>
      <c r="K40" s="11" t="s">
        <v>102</v>
      </c>
      <c r="L40" s="53">
        <v>70.134</v>
      </c>
      <c r="M40" s="13">
        <v>91.715999999999994</v>
      </c>
      <c r="N40" s="53">
        <v>115.718</v>
      </c>
      <c r="O40" s="53">
        <v>707.6</v>
      </c>
      <c r="P40" s="65">
        <v>933.3</v>
      </c>
      <c r="Q40" s="65">
        <v>1048.8</v>
      </c>
      <c r="R40" s="65">
        <v>1066.7</v>
      </c>
    </row>
    <row r="41" spans="1:18" ht="15" customHeight="1" x14ac:dyDescent="0.35">
      <c r="A41" s="14" t="s">
        <v>14</v>
      </c>
      <c r="B41" s="51">
        <v>15.22</v>
      </c>
      <c r="C41" s="51">
        <v>326.60000000000002</v>
      </c>
      <c r="D41" s="51">
        <v>13.4</v>
      </c>
      <c r="E41" s="51">
        <v>4.4000000000000004</v>
      </c>
      <c r="F41" s="51">
        <v>4.2</v>
      </c>
      <c r="G41" s="51">
        <v>17.100000000000001</v>
      </c>
      <c r="H41" s="51">
        <v>14.8</v>
      </c>
      <c r="K41" s="11" t="s">
        <v>101</v>
      </c>
      <c r="L41" s="53">
        <v>0</v>
      </c>
      <c r="M41" s="13">
        <v>0</v>
      </c>
      <c r="N41" s="53">
        <v>6.1760000000000002</v>
      </c>
      <c r="O41" s="53">
        <v>117.7</v>
      </c>
      <c r="P41" s="65">
        <v>103.7</v>
      </c>
      <c r="Q41" s="65">
        <v>0</v>
      </c>
      <c r="R41" s="65">
        <v>0</v>
      </c>
    </row>
    <row r="42" spans="1:18" ht="15" customHeight="1" x14ac:dyDescent="0.35">
      <c r="A42" s="11" t="s">
        <v>15</v>
      </c>
      <c r="B42" s="53">
        <v>1255.049</v>
      </c>
      <c r="C42" s="53">
        <v>365.54</v>
      </c>
      <c r="D42" s="53">
        <v>1121.0909999999999</v>
      </c>
      <c r="E42" s="53">
        <v>705.5</v>
      </c>
      <c r="F42" s="53">
        <v>-52.9</v>
      </c>
      <c r="G42" s="53">
        <v>814.6</v>
      </c>
      <c r="H42" s="53">
        <v>-1576.8</v>
      </c>
      <c r="K42" s="11" t="s">
        <v>98</v>
      </c>
      <c r="L42" s="53">
        <v>12.391999999999999</v>
      </c>
      <c r="M42" s="13">
        <v>22.573</v>
      </c>
      <c r="N42" s="53">
        <v>8.8320000000000007</v>
      </c>
      <c r="O42" s="53">
        <v>66.599999999999994</v>
      </c>
      <c r="P42" s="65">
        <v>102.3</v>
      </c>
      <c r="Q42" s="65">
        <v>95.7</v>
      </c>
      <c r="R42" s="65">
        <v>194.9</v>
      </c>
    </row>
    <row r="43" spans="1:18" ht="15" customHeight="1" x14ac:dyDescent="0.35">
      <c r="A43" s="11" t="s">
        <v>53</v>
      </c>
      <c r="B43" s="53">
        <v>95.516000000000005</v>
      </c>
      <c r="C43" s="53">
        <v>-303.44499999999999</v>
      </c>
      <c r="D43" s="53">
        <v>-821.99900000000002</v>
      </c>
      <c r="E43" s="53">
        <v>-481.9</v>
      </c>
      <c r="F43" s="53">
        <v>-463.4</v>
      </c>
      <c r="G43" s="53">
        <v>35.299999999999997</v>
      </c>
      <c r="H43" s="53">
        <v>-157.30000000000001</v>
      </c>
      <c r="I43" s="4"/>
      <c r="J43" s="4"/>
      <c r="K43" s="9" t="s">
        <v>80</v>
      </c>
      <c r="L43" s="43">
        <f t="shared" ref="L43:R43" si="16">L44+L45+L46+L47+L7</f>
        <v>315.27</v>
      </c>
      <c r="M43" s="43">
        <f t="shared" si="16"/>
        <v>1066.579</v>
      </c>
      <c r="N43" s="43">
        <f t="shared" si="16"/>
        <v>1033.345</v>
      </c>
      <c r="O43" s="43">
        <f t="shared" si="16"/>
        <v>1080.8</v>
      </c>
      <c r="P43" s="43">
        <f t="shared" si="16"/>
        <v>1763.1999999999998</v>
      </c>
      <c r="Q43" s="43">
        <f t="shared" si="16"/>
        <v>1969.7</v>
      </c>
      <c r="R43" s="43">
        <f t="shared" si="16"/>
        <v>2195</v>
      </c>
    </row>
    <row r="44" spans="1:18" ht="15" customHeight="1" x14ac:dyDescent="0.35">
      <c r="A44" s="11" t="s">
        <v>16</v>
      </c>
      <c r="B44" s="53">
        <v>-1039.2339999999999</v>
      </c>
      <c r="C44" s="53">
        <v>-375.20600000000002</v>
      </c>
      <c r="D44" s="53">
        <v>-308.089</v>
      </c>
      <c r="E44" s="53">
        <v>-223.8</v>
      </c>
      <c r="F44" s="53">
        <v>529.20000000000005</v>
      </c>
      <c r="G44" s="53">
        <v>-852.2</v>
      </c>
      <c r="H44" s="53">
        <v>1726</v>
      </c>
      <c r="I44" s="4"/>
      <c r="J44" s="4"/>
      <c r="K44" s="11" t="s">
        <v>95</v>
      </c>
      <c r="L44" s="53">
        <v>0</v>
      </c>
      <c r="M44" s="53">
        <v>703.89</v>
      </c>
      <c r="N44" s="53">
        <v>719.53200000000004</v>
      </c>
      <c r="O44" s="53">
        <v>741.3</v>
      </c>
      <c r="P44" s="53">
        <v>1111.8</v>
      </c>
      <c r="Q44" s="53">
        <v>1285.2</v>
      </c>
      <c r="R44" s="53">
        <v>1575.3</v>
      </c>
    </row>
    <row r="45" spans="1:18" ht="15" customHeight="1" x14ac:dyDescent="0.35">
      <c r="A45" s="14" t="s">
        <v>17</v>
      </c>
      <c r="B45" s="43">
        <f t="shared" ref="B45:E45" si="17">B42+B43+B44</f>
        <v>311.33100000000013</v>
      </c>
      <c r="C45" s="43">
        <f t="shared" si="17"/>
        <v>-313.11099999999999</v>
      </c>
      <c r="D45" s="43">
        <f t="shared" si="17"/>
        <v>-8.9970000000001278</v>
      </c>
      <c r="E45" s="43">
        <f t="shared" si="17"/>
        <v>-0.19999999999998863</v>
      </c>
      <c r="F45" s="64">
        <f>F42+F43+F44</f>
        <v>12.900000000000091</v>
      </c>
      <c r="G45" s="64">
        <f>G42+G43+G44</f>
        <v>-2.3000000000000682</v>
      </c>
      <c r="H45" s="64">
        <v>-8</v>
      </c>
      <c r="I45" s="4"/>
      <c r="J45" s="4"/>
      <c r="K45" s="11" t="s">
        <v>96</v>
      </c>
      <c r="L45" s="53">
        <v>153.25700000000001</v>
      </c>
      <c r="M45" s="53">
        <v>168.54900000000001</v>
      </c>
      <c r="N45" s="53">
        <v>186.18600000000001</v>
      </c>
      <c r="O45" s="53">
        <v>229.5</v>
      </c>
      <c r="P45" s="53">
        <v>307.89999999999998</v>
      </c>
      <c r="Q45" s="53">
        <v>384</v>
      </c>
      <c r="R45" s="53">
        <v>414.2</v>
      </c>
    </row>
    <row r="46" spans="1:18" ht="15" customHeight="1" x14ac:dyDescent="0.35">
      <c r="A46" s="14" t="s">
        <v>48</v>
      </c>
      <c r="B46" s="43">
        <f t="shared" ref="B46:G46" si="18">+B41+B45</f>
        <v>326.55100000000016</v>
      </c>
      <c r="C46" s="43">
        <f t="shared" si="18"/>
        <v>13.489000000000033</v>
      </c>
      <c r="D46" s="43">
        <f t="shared" si="18"/>
        <v>4.4029999999998726</v>
      </c>
      <c r="E46" s="43">
        <f t="shared" si="18"/>
        <v>4.2000000000000117</v>
      </c>
      <c r="F46" s="64">
        <f t="shared" si="18"/>
        <v>17.10000000000009</v>
      </c>
      <c r="G46" s="64">
        <f t="shared" si="18"/>
        <v>14.799999999999933</v>
      </c>
      <c r="H46" s="64">
        <v>6.8</v>
      </c>
      <c r="I46" s="4"/>
      <c r="J46" s="4"/>
      <c r="K46" s="11" t="s">
        <v>97</v>
      </c>
      <c r="L46" s="13">
        <v>13.106999999999999</v>
      </c>
      <c r="M46" s="13">
        <v>11.715</v>
      </c>
      <c r="N46" s="13">
        <v>10.327</v>
      </c>
      <c r="O46" s="13">
        <v>26.7</v>
      </c>
      <c r="P46" s="53">
        <v>307.60000000000002</v>
      </c>
      <c r="Q46" s="53">
        <v>288.3</v>
      </c>
      <c r="R46" s="53">
        <v>188.8</v>
      </c>
    </row>
    <row r="47" spans="1:18" ht="15" customHeight="1" x14ac:dyDescent="0.35">
      <c r="K47" s="11" t="s">
        <v>98</v>
      </c>
      <c r="L47" s="13">
        <v>20.306000000000001</v>
      </c>
      <c r="M47" s="13">
        <v>19.324999999999999</v>
      </c>
      <c r="N47" s="13">
        <v>0</v>
      </c>
      <c r="O47" s="13">
        <v>0</v>
      </c>
      <c r="P47" s="53">
        <v>8.9</v>
      </c>
      <c r="Q47" s="53">
        <v>12.2</v>
      </c>
      <c r="R47" s="53">
        <v>16.7</v>
      </c>
    </row>
    <row r="48" spans="1:18" ht="15" customHeight="1" x14ac:dyDescent="0.35">
      <c r="A48" s="6" t="s">
        <v>18</v>
      </c>
      <c r="B48" s="16" t="s">
        <v>65</v>
      </c>
      <c r="C48" s="16" t="s">
        <v>70</v>
      </c>
      <c r="D48" s="16" t="s">
        <v>71</v>
      </c>
      <c r="E48" s="16" t="s">
        <v>84</v>
      </c>
      <c r="F48" s="16" t="s">
        <v>85</v>
      </c>
      <c r="G48" s="16" t="s">
        <v>118</v>
      </c>
      <c r="H48" s="7" t="s">
        <v>119</v>
      </c>
      <c r="K48" s="9" t="s">
        <v>117</v>
      </c>
      <c r="L48" s="43">
        <f t="shared" ref="L48:O48" si="19">(L26-L36)</f>
        <v>2962.0290000000014</v>
      </c>
      <c r="M48" s="43">
        <f t="shared" si="19"/>
        <v>3547.277000000001</v>
      </c>
      <c r="N48" s="43">
        <f t="shared" si="19"/>
        <v>4500.6909999999989</v>
      </c>
      <c r="O48" s="43">
        <f t="shared" si="19"/>
        <v>4802.6000000000004</v>
      </c>
      <c r="P48" s="43">
        <f>(P26-P36)</f>
        <v>5189.6000000000004</v>
      </c>
      <c r="Q48" s="43">
        <f>(Q26-Q36)</f>
        <v>4597.1000000000004</v>
      </c>
      <c r="R48" s="43">
        <f>(R26-R36)</f>
        <v>3872.1999999999971</v>
      </c>
    </row>
    <row r="49" spans="1:18" ht="15" customHeight="1" x14ac:dyDescent="0.35">
      <c r="A49" s="9" t="s">
        <v>19</v>
      </c>
      <c r="B49" s="43">
        <f t="shared" ref="B49:D49" si="20">B42</f>
        <v>1255.049</v>
      </c>
      <c r="C49" s="43">
        <f t="shared" si="20"/>
        <v>365.54</v>
      </c>
      <c r="D49" s="43">
        <f t="shared" si="20"/>
        <v>1121.0909999999999</v>
      </c>
      <c r="E49" s="43">
        <f>E42</f>
        <v>705.5</v>
      </c>
      <c r="F49" s="64">
        <f t="shared" ref="F49" si="21">F42</f>
        <v>-52.9</v>
      </c>
      <c r="G49" s="64">
        <f>G42</f>
        <v>814.6</v>
      </c>
      <c r="H49" s="64">
        <f>H42</f>
        <v>-1576.8</v>
      </c>
      <c r="K49" s="9" t="s">
        <v>57</v>
      </c>
      <c r="L49" s="43">
        <f t="shared" ref="L49:P49" si="22">L14+L26</f>
        <v>7883.3940000000011</v>
      </c>
      <c r="M49" s="43">
        <f t="shared" si="22"/>
        <v>9104.3140000000003</v>
      </c>
      <c r="N49" s="43">
        <f t="shared" si="22"/>
        <v>9365.8889999999992</v>
      </c>
      <c r="O49" s="43">
        <f t="shared" si="22"/>
        <v>11165.2</v>
      </c>
      <c r="P49" s="43">
        <f t="shared" si="22"/>
        <v>14964.2</v>
      </c>
      <c r="Q49" s="43">
        <f>Q14+Q26</f>
        <v>15160.7</v>
      </c>
      <c r="R49" s="43">
        <f>R14+R26</f>
        <v>17771.199999999997</v>
      </c>
    </row>
    <row r="50" spans="1:18" ht="15" customHeight="1" x14ac:dyDescent="0.35">
      <c r="A50" s="11" t="s">
        <v>20</v>
      </c>
      <c r="B50" s="53">
        <f>-117.1+3.5</f>
        <v>-113.6</v>
      </c>
      <c r="C50" s="53">
        <v>-272.50799999999998</v>
      </c>
      <c r="D50" s="53">
        <v>-171</v>
      </c>
      <c r="E50" s="53">
        <f>-250.8+4.2</f>
        <v>-246.60000000000002</v>
      </c>
      <c r="F50" s="53">
        <f>-533+3.3</f>
        <v>-529.70000000000005</v>
      </c>
      <c r="G50" s="53">
        <v>-338.2</v>
      </c>
      <c r="H50" s="53">
        <f>-150.6+2.2</f>
        <v>-148.4</v>
      </c>
      <c r="K50" s="9" t="s">
        <v>58</v>
      </c>
      <c r="L50" s="43">
        <f t="shared" ref="L50:R50" si="23">L6+L36+L43</f>
        <v>7883.3379999999997</v>
      </c>
      <c r="M50" s="43">
        <f t="shared" si="23"/>
        <v>9104.4480000000003</v>
      </c>
      <c r="N50" s="43">
        <f t="shared" si="23"/>
        <v>9366.0159999999996</v>
      </c>
      <c r="O50" s="43">
        <f t="shared" si="23"/>
        <v>11165.199999999999</v>
      </c>
      <c r="P50" s="43">
        <f t="shared" si="23"/>
        <v>14964.2</v>
      </c>
      <c r="Q50" s="43">
        <f t="shared" si="23"/>
        <v>15160.7</v>
      </c>
      <c r="R50" s="43">
        <f t="shared" si="23"/>
        <v>17771.2</v>
      </c>
    </row>
    <row r="51" spans="1:18" ht="15" customHeight="1" x14ac:dyDescent="0.35">
      <c r="A51" s="9" t="s">
        <v>21</v>
      </c>
      <c r="B51" s="43">
        <f t="shared" ref="B51:C51" si="24">SUM(B49:B50)</f>
        <v>1141.4490000000001</v>
      </c>
      <c r="C51" s="43">
        <f t="shared" si="24"/>
        <v>93.032000000000039</v>
      </c>
      <c r="D51" s="43">
        <f>SUM(D49:D50)</f>
        <v>950.09099999999989</v>
      </c>
      <c r="E51" s="43">
        <f>SUM(E49:E50)</f>
        <v>458.9</v>
      </c>
      <c r="F51" s="64">
        <f>SUM(F49:F50)</f>
        <v>-582.6</v>
      </c>
      <c r="G51" s="64">
        <f>SUM(G49:G50)</f>
        <v>476.40000000000003</v>
      </c>
      <c r="H51" s="64">
        <f>SUM(H49:H50)</f>
        <v>-1725.2</v>
      </c>
      <c r="K51" s="14" t="s">
        <v>29</v>
      </c>
      <c r="L51" s="13"/>
      <c r="M51" s="13"/>
      <c r="N51" s="13"/>
      <c r="O51" s="13"/>
      <c r="P51" s="13"/>
      <c r="Q51" s="13"/>
    </row>
    <row r="52" spans="1:18" ht="15" customHeight="1" x14ac:dyDescent="0.35">
      <c r="A52" s="2" t="s">
        <v>22</v>
      </c>
      <c r="K52" s="6" t="s">
        <v>30</v>
      </c>
      <c r="L52" s="8" t="s">
        <v>65</v>
      </c>
      <c r="M52" s="17" t="s">
        <v>70</v>
      </c>
      <c r="N52" s="17" t="s">
        <v>71</v>
      </c>
      <c r="O52" s="8" t="s">
        <v>84</v>
      </c>
      <c r="P52" s="8" t="s">
        <v>85</v>
      </c>
      <c r="Q52" s="8" t="s">
        <v>118</v>
      </c>
      <c r="R52" s="8" t="s">
        <v>119</v>
      </c>
    </row>
    <row r="53" spans="1:18" ht="15" customHeight="1" x14ac:dyDescent="0.35">
      <c r="K53" s="18" t="s">
        <v>72</v>
      </c>
      <c r="L53" s="43">
        <v>364.65</v>
      </c>
      <c r="M53" s="49">
        <v>134.55000000000001</v>
      </c>
      <c r="N53" s="49">
        <v>225.25</v>
      </c>
      <c r="O53" s="49">
        <v>550.29999999999995</v>
      </c>
      <c r="P53" s="49">
        <v>623.1</v>
      </c>
      <c r="Q53" s="62">
        <v>621</v>
      </c>
      <c r="R53" s="62">
        <v>826.95</v>
      </c>
    </row>
    <row r="54" spans="1:18" ht="15" customHeight="1" x14ac:dyDescent="0.35">
      <c r="A54" s="6" t="s">
        <v>18</v>
      </c>
      <c r="B54" s="16" t="s">
        <v>65</v>
      </c>
      <c r="C54" s="16" t="s">
        <v>70</v>
      </c>
      <c r="D54" s="16" t="s">
        <v>71</v>
      </c>
      <c r="E54" s="16" t="s">
        <v>84</v>
      </c>
      <c r="F54" s="16" t="s">
        <v>85</v>
      </c>
      <c r="G54" s="16" t="s">
        <v>118</v>
      </c>
      <c r="H54" s="7" t="s">
        <v>119</v>
      </c>
      <c r="K54" s="18" t="s">
        <v>31</v>
      </c>
      <c r="L54" s="49">
        <f t="shared" ref="L54:Q54" si="25">B34</f>
        <v>26.85</v>
      </c>
      <c r="M54" s="49">
        <f t="shared" si="25"/>
        <v>30.24</v>
      </c>
      <c r="N54" s="49">
        <f t="shared" si="25"/>
        <v>31.98</v>
      </c>
      <c r="O54" s="49">
        <f t="shared" si="25"/>
        <v>54.95</v>
      </c>
      <c r="P54" s="49">
        <f t="shared" si="25"/>
        <v>63.92</v>
      </c>
      <c r="Q54" s="62">
        <f t="shared" si="25"/>
        <v>28.91</v>
      </c>
      <c r="R54" s="62">
        <v>27.19</v>
      </c>
    </row>
    <row r="55" spans="1:18" ht="15" customHeight="1" x14ac:dyDescent="0.35">
      <c r="A55" s="14" t="s">
        <v>49</v>
      </c>
      <c r="B55" s="55">
        <v>21732064</v>
      </c>
      <c r="C55" s="55">
        <v>20732064</v>
      </c>
      <c r="D55" s="55">
        <v>20732064</v>
      </c>
      <c r="E55" s="55">
        <v>20732064</v>
      </c>
      <c r="F55" s="55">
        <v>20732064</v>
      </c>
      <c r="G55" s="55">
        <v>20732064</v>
      </c>
      <c r="H55" s="55">
        <v>20732064</v>
      </c>
      <c r="K55" s="18" t="s">
        <v>32</v>
      </c>
      <c r="L55" s="49">
        <f>(L6*1000000)/B55</f>
        <v>222.58428835843665</v>
      </c>
      <c r="M55" s="49">
        <f>(M6*1000000)/B55</f>
        <v>250.86140000323945</v>
      </c>
      <c r="N55" s="49">
        <f>(N6*1000000)/D55</f>
        <v>291.37962336986806</v>
      </c>
      <c r="O55" s="49">
        <f>(O6*1000000)/E55</f>
        <v>331.49617905867933</v>
      </c>
      <c r="P55" s="49">
        <f>(P6*1000000)/F55</f>
        <v>374.49238049815011</v>
      </c>
      <c r="Q55" s="62">
        <f>(Q6*1000000)/G55</f>
        <v>383.36752192159929</v>
      </c>
      <c r="R55" s="62">
        <f>(R6*1000000)/H55</f>
        <v>360.84685055959699</v>
      </c>
    </row>
    <row r="56" spans="1:18" ht="15" customHeight="1" x14ac:dyDescent="0.35">
      <c r="A56" s="14" t="s">
        <v>108</v>
      </c>
      <c r="B56" s="43">
        <f t="shared" ref="B56:F56" si="26">B55*L53/1000000</f>
        <v>7924.5971375999998</v>
      </c>
      <c r="C56" s="43">
        <f t="shared" si="26"/>
        <v>2789.4992112000004</v>
      </c>
      <c r="D56" s="43">
        <f t="shared" si="26"/>
        <v>4669.8974159999998</v>
      </c>
      <c r="E56" s="43">
        <f t="shared" si="26"/>
        <v>11408.854819199998</v>
      </c>
      <c r="F56" s="64">
        <f t="shared" si="26"/>
        <v>12918.1490784</v>
      </c>
      <c r="G56" s="64">
        <f>G55*Q53/1000000</f>
        <v>12874.611744</v>
      </c>
      <c r="H56" s="64">
        <v>16799.2</v>
      </c>
      <c r="K56" s="18" t="s">
        <v>33</v>
      </c>
      <c r="L56" s="56">
        <v>0</v>
      </c>
      <c r="M56" s="56">
        <v>5</v>
      </c>
      <c r="N56" s="56">
        <v>15</v>
      </c>
      <c r="O56" s="56">
        <v>20</v>
      </c>
      <c r="P56" s="56">
        <v>0</v>
      </c>
      <c r="Q56" s="61">
        <v>20</v>
      </c>
      <c r="R56" s="61" t="s">
        <v>120</v>
      </c>
    </row>
    <row r="57" spans="1:18" ht="15" customHeight="1" x14ac:dyDescent="0.4">
      <c r="A57" s="14" t="s">
        <v>52</v>
      </c>
      <c r="B57" s="52">
        <f t="shared" ref="B57:H57" si="27">L9</f>
        <v>446</v>
      </c>
      <c r="C57" s="52">
        <f t="shared" si="27"/>
        <v>317.60000000000002</v>
      </c>
      <c r="D57" s="52">
        <f t="shared" si="27"/>
        <v>348.1</v>
      </c>
      <c r="E57" s="52">
        <f t="shared" si="27"/>
        <v>684.3</v>
      </c>
      <c r="F57" s="13">
        <f t="shared" si="27"/>
        <v>2019.9</v>
      </c>
      <c r="G57" s="13">
        <f t="shared" si="27"/>
        <v>2169.9</v>
      </c>
      <c r="H57" s="13">
        <f t="shared" si="27"/>
        <v>4637.1000000000004</v>
      </c>
      <c r="K57" s="28" t="s">
        <v>34</v>
      </c>
      <c r="L57" s="56">
        <f t="shared" ref="L57:R57" si="28">(L53/L54)</f>
        <v>13.581005586592177</v>
      </c>
      <c r="M57" s="56">
        <f t="shared" si="28"/>
        <v>4.4494047619047628</v>
      </c>
      <c r="N57" s="56">
        <f t="shared" si="28"/>
        <v>7.0434646654158852</v>
      </c>
      <c r="O57" s="56">
        <f t="shared" si="28"/>
        <v>10.014558689717925</v>
      </c>
      <c r="P57" s="56">
        <f t="shared" si="28"/>
        <v>9.7481226533166456</v>
      </c>
      <c r="Q57" s="61">
        <f t="shared" si="28"/>
        <v>21.480456589415429</v>
      </c>
      <c r="R57" s="61">
        <f t="shared" si="28"/>
        <v>30.413755057006252</v>
      </c>
    </row>
    <row r="58" spans="1:18" ht="15" customHeight="1" x14ac:dyDescent="0.35">
      <c r="A58" s="14" t="s">
        <v>50</v>
      </c>
      <c r="B58" s="52">
        <f t="shared" ref="B58:H58" si="29">L31+L32</f>
        <v>349.09</v>
      </c>
      <c r="C58" s="52">
        <f t="shared" si="29"/>
        <v>127.672</v>
      </c>
      <c r="D58" s="52">
        <f t="shared" si="29"/>
        <v>408.548</v>
      </c>
      <c r="E58" s="52">
        <f t="shared" si="29"/>
        <v>480.2</v>
      </c>
      <c r="F58" s="13">
        <f t="shared" si="29"/>
        <v>146.9</v>
      </c>
      <c r="G58" s="13">
        <f t="shared" si="29"/>
        <v>82</v>
      </c>
      <c r="H58" s="13">
        <f t="shared" si="29"/>
        <v>82.1</v>
      </c>
      <c r="K58" s="18" t="s">
        <v>35</v>
      </c>
      <c r="L58" s="56">
        <f>(L53/L55)</f>
        <v>1.6382557937458238</v>
      </c>
      <c r="M58" s="56">
        <f t="shared" ref="M58:P58" si="30">(M53/M55)</f>
        <v>0.53635194572884681</v>
      </c>
      <c r="N58" s="56">
        <f>(N53/N55)</f>
        <v>0.77304650680420017</v>
      </c>
      <c r="O58" s="56">
        <f t="shared" si="30"/>
        <v>1.66004930000291</v>
      </c>
      <c r="P58" s="56">
        <f t="shared" si="30"/>
        <v>1.6638522769706336</v>
      </c>
      <c r="Q58" s="61">
        <f>(Q53/Q55)</f>
        <v>1.6198555289380978</v>
      </c>
      <c r="R58" s="61">
        <f>R53/R55</f>
        <v>2.2916924415928137</v>
      </c>
    </row>
    <row r="59" spans="1:18" ht="15" customHeight="1" x14ac:dyDescent="0.35">
      <c r="A59" s="14" t="s">
        <v>51</v>
      </c>
      <c r="B59" s="43">
        <f t="shared" ref="B59:E59" si="31">B56+B57-B58</f>
        <v>8021.5071375999996</v>
      </c>
      <c r="C59" s="43">
        <f t="shared" si="31"/>
        <v>2979.4272112000003</v>
      </c>
      <c r="D59" s="43">
        <f t="shared" si="31"/>
        <v>4609.4494160000004</v>
      </c>
      <c r="E59" s="43">
        <f t="shared" si="31"/>
        <v>11612.954819199997</v>
      </c>
      <c r="F59" s="64">
        <f>F56+F57-F58</f>
        <v>14791.1490784</v>
      </c>
      <c r="G59" s="64">
        <f>G56+G57-G58</f>
        <v>14962.511743999999</v>
      </c>
      <c r="H59" s="64">
        <f>H56+H57-H58</f>
        <v>21354.200000000004</v>
      </c>
      <c r="K59" s="18" t="s">
        <v>36</v>
      </c>
      <c r="L59" s="56">
        <f>B59/B15</f>
        <v>8.1568289295410867</v>
      </c>
      <c r="M59" s="56">
        <f>C59/C15</f>
        <v>2.3945182405747927</v>
      </c>
      <c r="N59" s="56">
        <f>D59/D15</f>
        <v>3.9886930978713764</v>
      </c>
      <c r="O59" s="56">
        <f>E59/2062</f>
        <v>5.631888855092142</v>
      </c>
      <c r="P59" s="56">
        <f>F59/2062</f>
        <v>7.1732051786614939</v>
      </c>
      <c r="Q59" s="63">
        <f>G59/G15</f>
        <v>10.546635471910898</v>
      </c>
      <c r="R59" s="63" t="s">
        <v>120</v>
      </c>
    </row>
    <row r="60" spans="1:18" ht="15" customHeight="1" x14ac:dyDescent="0.35">
      <c r="K60" s="19" t="s">
        <v>37</v>
      </c>
      <c r="L60" s="57">
        <f>B26/L6</f>
        <v>0.123191521734816</v>
      </c>
      <c r="M60" s="57">
        <f>C26/M6</f>
        <v>0.1149998826062013</v>
      </c>
      <c r="N60" s="57">
        <f>D26/N6</f>
        <v>0.10974852923429797</v>
      </c>
      <c r="O60" s="57">
        <f>E26/O6</f>
        <v>0.16578572883624837</v>
      </c>
      <c r="P60" s="57">
        <f>F26/P6</f>
        <v>0.17068521380731586</v>
      </c>
      <c r="Q60" s="57">
        <f t="shared" ref="Q60" si="32">G26/Q6</f>
        <v>7.5415198792149071E-2</v>
      </c>
      <c r="R60" s="73" t="s">
        <v>120</v>
      </c>
    </row>
    <row r="61" spans="1:18" ht="15" customHeight="1" x14ac:dyDescent="0.35">
      <c r="K61" s="19" t="s">
        <v>38</v>
      </c>
      <c r="L61" s="57">
        <f>(B15-B20)/L10</f>
        <v>0.15379178128771234</v>
      </c>
      <c r="M61" s="57">
        <f>(C15-C20)/M6</f>
        <v>0.16696883341379726</v>
      </c>
      <c r="N61" s="57">
        <f>(D15-D20)/N6</f>
        <v>0.13468619995593373</v>
      </c>
      <c r="O61" s="57">
        <f>(E15-E20)/O6</f>
        <v>0.20802476500887593</v>
      </c>
      <c r="P61" s="57">
        <f>(F15-F20)/P6</f>
        <v>0.22646831530139103</v>
      </c>
      <c r="Q61" s="57">
        <f>(G23+G21)/Q11</f>
        <v>0.11913044355042002</v>
      </c>
      <c r="R61" s="73" t="s">
        <v>120</v>
      </c>
    </row>
    <row r="62" spans="1:18" ht="15" customHeight="1" x14ac:dyDescent="0.35">
      <c r="K62" s="18" t="s">
        <v>39</v>
      </c>
      <c r="L62" s="56">
        <f t="shared" ref="L62:P62" si="33">(L9/L6)</f>
        <v>9.2201795412898649E-2</v>
      </c>
      <c r="M62" s="56">
        <f t="shared" si="33"/>
        <v>5.8256672736904359E-2</v>
      </c>
      <c r="N62" s="56">
        <f t="shared" si="33"/>
        <v>5.7623854454823882E-2</v>
      </c>
      <c r="O62" s="56">
        <f t="shared" si="33"/>
        <v>9.9569304193463895E-2</v>
      </c>
      <c r="P62" s="56">
        <f t="shared" si="33"/>
        <v>0.2601622874806801</v>
      </c>
      <c r="Q62" s="56">
        <f t="shared" ref="Q62:R62" si="34">(Q9/Q6)</f>
        <v>0.27301207851031706</v>
      </c>
      <c r="R62" s="56">
        <f t="shared" si="34"/>
        <v>0.61984200184464855</v>
      </c>
    </row>
    <row r="63" spans="1:18" ht="15" customHeight="1" x14ac:dyDescent="0.35">
      <c r="K63" s="18" t="s">
        <v>40</v>
      </c>
      <c r="L63" s="56">
        <f>(L9-L31-L32)/L6</f>
        <v>2.0034251106421548E-2</v>
      </c>
      <c r="M63" s="56">
        <f>(M9-M31)/M6</f>
        <v>5.5790852675184577E-2</v>
      </c>
      <c r="N63" s="56">
        <f>(N9-N31)/N6</f>
        <v>5.6887871527773755E-2</v>
      </c>
      <c r="O63" s="56">
        <f>(O9-O31)/O6</f>
        <v>9.895818176527077E-2</v>
      </c>
      <c r="P63" s="56">
        <f>(P9-P31)/P6</f>
        <v>0.25795981452859351</v>
      </c>
      <c r="Q63" s="56">
        <f>(Q9-Q31)/Q6</f>
        <v>0.27114997483643682</v>
      </c>
      <c r="R63" s="56">
        <f>(R9-R31)/R6</f>
        <v>0.61893304460573983</v>
      </c>
    </row>
    <row r="64" spans="1:18" ht="15" customHeight="1" x14ac:dyDescent="0.35">
      <c r="K64" s="20" t="s">
        <v>41</v>
      </c>
      <c r="L64" s="58">
        <f t="shared" ref="L64:Q64" si="35">(L56/L53)</f>
        <v>0</v>
      </c>
      <c r="M64" s="58">
        <f t="shared" si="35"/>
        <v>3.7160906726124113E-2</v>
      </c>
      <c r="N64" s="58">
        <f t="shared" si="35"/>
        <v>6.6592674805771371E-2</v>
      </c>
      <c r="O64" s="58">
        <f t="shared" si="35"/>
        <v>3.6343812465927681E-2</v>
      </c>
      <c r="P64" s="58">
        <f>(P56/P53)</f>
        <v>0</v>
      </c>
      <c r="Q64" s="58">
        <f t="shared" si="35"/>
        <v>3.2206119162640899E-2</v>
      </c>
      <c r="R64" s="74" t="s">
        <v>120</v>
      </c>
    </row>
    <row r="65" spans="1:19" ht="15" customHeight="1" x14ac:dyDescent="0.35">
      <c r="K65" s="18" t="s">
        <v>42</v>
      </c>
      <c r="L65" s="59">
        <f>(AVERAGE(L30,K30))/(B4)*365</f>
        <v>122.2569327852718</v>
      </c>
      <c r="M65" s="59">
        <f>(AVERAGE(M30,L30))/(C4)*365</f>
        <v>118.71844909063095</v>
      </c>
      <c r="N65" s="59">
        <f>(AVERAGE(N30,M30))/(D4)*365</f>
        <v>141.32123277981148</v>
      </c>
      <c r="O65" s="59">
        <f>(AVERAGE(O30,N30))/(E4)*365</f>
        <v>98.767109779481203</v>
      </c>
      <c r="P65" s="59">
        <f>(AVERAGE(P30,O30))/(F4)*365</f>
        <v>104.51407341797066</v>
      </c>
      <c r="Q65" s="59">
        <f t="shared" ref="Q65" si="36">(AVERAGE(Q30,P30))/(G4)*365</f>
        <v>128.93978774095734</v>
      </c>
      <c r="R65" s="75" t="s">
        <v>120</v>
      </c>
    </row>
    <row r="66" spans="1:19" ht="15" customHeight="1" x14ac:dyDescent="0.35">
      <c r="A66" s="21"/>
      <c r="B66" s="21"/>
      <c r="C66" s="21"/>
      <c r="D66" s="21"/>
      <c r="E66" s="21"/>
      <c r="F66" s="21"/>
      <c r="G66" s="21"/>
      <c r="H66" s="21"/>
      <c r="K66" s="18" t="s">
        <v>43</v>
      </c>
      <c r="L66" s="59">
        <f>AVERAGE(K38,L38)/SUM(B8:B10)*365</f>
        <v>142.60024913470696</v>
      </c>
      <c r="M66" s="59">
        <f>AVERAGE(L38,M38)/SUM(C8:C10)*365</f>
        <v>143.80859196579814</v>
      </c>
      <c r="N66" s="59">
        <f>AVERAGE(M38,N38)/SUM(D8:D10)*365</f>
        <v>168.76377880198254</v>
      </c>
      <c r="O66" s="59">
        <f>AVERAGE(N38,O38)/SUM(E8:E10)*365</f>
        <v>104.01313072157323</v>
      </c>
      <c r="P66" s="59">
        <f>AVERAGE(O38,P38)/SUM(F8:F10)*365</f>
        <v>102.39862186461551</v>
      </c>
      <c r="Q66" s="59">
        <f t="shared" ref="Q66" si="37">AVERAGE(P38,Q38)/SUM(G8:G10)*365</f>
        <v>100.35121867265485</v>
      </c>
      <c r="R66" s="75" t="s">
        <v>120</v>
      </c>
    </row>
    <row r="67" spans="1:19" ht="10.5" x14ac:dyDescent="0.35">
      <c r="K67" s="14" t="s">
        <v>44</v>
      </c>
      <c r="L67" s="59">
        <f>AVERAGE(L27,K27)/SUM(B8:B10)*365</f>
        <v>202.59645113707634</v>
      </c>
      <c r="M67" s="59">
        <f>AVERAGE(M27,L27)/SUM(C8:C10)*365</f>
        <v>194.02858964286926</v>
      </c>
      <c r="N67" s="59">
        <f>AVERAGE(N27,M27)/SUM(D8:D10)*365</f>
        <v>230.32261619361395</v>
      </c>
      <c r="O67" s="59">
        <f>AVERAGE(O27,N27)/SUM(E8:E10)*365</f>
        <v>183.99039135303971</v>
      </c>
      <c r="P67" s="59">
        <f>AVERAGE(P27,O27)/SUM(F8:F9)*365</f>
        <v>181.31462089077414</v>
      </c>
      <c r="Q67" s="59">
        <f>AVERAGE(Q27,P27)/SUM(G8:G9)*365</f>
        <v>277.75004250977724</v>
      </c>
      <c r="R67" s="75" t="s">
        <v>120</v>
      </c>
    </row>
    <row r="68" spans="1:19" ht="10.5" x14ac:dyDescent="0.35">
      <c r="K68" s="18" t="s">
        <v>66</v>
      </c>
      <c r="L68" s="59">
        <f t="shared" ref="L68" si="38">L65-L66+L67</f>
        <v>182.25313478764119</v>
      </c>
      <c r="M68" s="59">
        <f>M67+M65-M66</f>
        <v>168.93844676770209</v>
      </c>
      <c r="N68" s="59">
        <f>N67+N65-N66</f>
        <v>202.88007017144287</v>
      </c>
      <c r="O68" s="59">
        <f>O67+O65-O66</f>
        <v>178.74437041094768</v>
      </c>
      <c r="P68" s="59">
        <f>P67+P65-P66</f>
        <v>183.43007244412928</v>
      </c>
      <c r="Q68" s="59">
        <f>Q67+Q65-Q66</f>
        <v>306.33861157807974</v>
      </c>
      <c r="R68" s="75" t="s">
        <v>120</v>
      </c>
    </row>
    <row r="69" spans="1:19" s="21" customFormat="1" ht="15" customHeight="1" x14ac:dyDescent="0.35">
      <c r="A69" s="2"/>
      <c r="B69" s="2"/>
      <c r="C69" s="2"/>
      <c r="D69" s="2"/>
      <c r="E69" s="2"/>
      <c r="F69" s="2"/>
      <c r="G69" s="2"/>
      <c r="H69" s="2"/>
      <c r="K69" s="14" t="s">
        <v>68</v>
      </c>
      <c r="L69" s="59">
        <f>AVERAGE(L48:L48)/B4*365</f>
        <v>164.71410887695134</v>
      </c>
      <c r="M69" s="59">
        <f>AVERAGE(M48:M48)/C4*365</f>
        <v>178.43617810044753</v>
      </c>
      <c r="N69" s="59">
        <f>AVERAGE(N48:N48)/D4*365</f>
        <v>264.10085496055569</v>
      </c>
      <c r="O69" s="59">
        <f>AVERAGE(O48:O48)/E4*365</f>
        <v>193.84124238932594</v>
      </c>
      <c r="P69" s="59">
        <f>AVERAGE(P48:P48)/F4*365</f>
        <v>169.47186658435552</v>
      </c>
      <c r="Q69" s="59">
        <f t="shared" ref="Q69" si="39">AVERAGE(Q48:Q48)/G4*365</f>
        <v>158.01164882146324</v>
      </c>
      <c r="R69" s="75" t="s">
        <v>120</v>
      </c>
      <c r="S69" s="2"/>
    </row>
    <row r="70" spans="1:19" ht="15" customHeight="1" x14ac:dyDescent="0.35">
      <c r="K70" s="14" t="s">
        <v>55</v>
      </c>
      <c r="L70" s="57">
        <f>B21/L9</f>
        <v>0.20058295964125558</v>
      </c>
      <c r="M70" s="57">
        <f>C21/M9</f>
        <v>0.53557934508816119</v>
      </c>
      <c r="N70" s="57">
        <f>D21/N9</f>
        <v>0.38811835679402473</v>
      </c>
      <c r="O70" s="57">
        <f>E21/O9</f>
        <v>0.22928540113985096</v>
      </c>
      <c r="P70" s="57">
        <f>F21/P9</f>
        <v>0.12104559631664934</v>
      </c>
      <c r="Q70" s="57">
        <f t="shared" ref="Q70:R70" si="40">G21/Q9</f>
        <v>0.17272685377206323</v>
      </c>
      <c r="R70" s="57">
        <f t="shared" si="40"/>
        <v>4.5502577041685532E-2</v>
      </c>
    </row>
    <row r="71" spans="1:19" ht="15" customHeight="1" thickBot="1" x14ac:dyDescent="0.4">
      <c r="K71" s="14" t="s">
        <v>67</v>
      </c>
      <c r="L71" s="60">
        <f>(B15-B20)/B21</f>
        <v>8.85770176615247</v>
      </c>
      <c r="M71" s="60">
        <f>(C15-C20)/C21</f>
        <v>5.3513815402704372</v>
      </c>
      <c r="N71" s="60">
        <f>(D15-D20)/D21</f>
        <v>6.0222199194694452</v>
      </c>
      <c r="O71" s="60">
        <f>(E15-E20)/E21</f>
        <v>9.1119885277246695</v>
      </c>
      <c r="P71" s="60">
        <f>(F15-F20)/F21</f>
        <v>7.1914110429447851</v>
      </c>
      <c r="Q71" s="60">
        <f t="shared" ref="Q71:R71" si="41">(G15-G20)/G21</f>
        <v>2.4186232657417306</v>
      </c>
      <c r="R71" s="60">
        <f t="shared" si="41"/>
        <v>-0.10426540284360189</v>
      </c>
    </row>
    <row r="72" spans="1:19" ht="15" customHeight="1" x14ac:dyDescent="0.45">
      <c r="K72" s="72"/>
      <c r="L72" s="72"/>
      <c r="M72" s="72"/>
      <c r="N72" s="72"/>
      <c r="O72" s="72"/>
      <c r="P72" s="72"/>
      <c r="Q72" s="72"/>
      <c r="R72" s="61"/>
    </row>
    <row r="73" spans="1:19" ht="15" customHeight="1" x14ac:dyDescent="0.35">
      <c r="M73" s="22"/>
    </row>
    <row r="74" spans="1:19" ht="15" customHeight="1" x14ac:dyDescent="0.35">
      <c r="M74" s="22"/>
    </row>
    <row r="75" spans="1:19" ht="15" customHeight="1" x14ac:dyDescent="0.35">
      <c r="M75" s="22"/>
    </row>
    <row r="76" spans="1:19" ht="15" customHeight="1" x14ac:dyDescent="0.35">
      <c r="M76" s="22"/>
    </row>
    <row r="77" spans="1:19" ht="15" customHeight="1" x14ac:dyDescent="0.35">
      <c r="M77" s="22"/>
    </row>
    <row r="78" spans="1:19" ht="15" customHeight="1" x14ac:dyDescent="0.35">
      <c r="M78" s="22"/>
    </row>
  </sheetData>
  <mergeCells count="4">
    <mergeCell ref="A2:E2"/>
    <mergeCell ref="A1:O1"/>
    <mergeCell ref="K2:O2"/>
    <mergeCell ref="K72:Q7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L66:Q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I15"/>
  <sheetViews>
    <sheetView workbookViewId="0">
      <selection activeCell="F6" sqref="F6:I16"/>
    </sheetView>
  </sheetViews>
  <sheetFormatPr defaultRowHeight="14.25" x14ac:dyDescent="0.45"/>
  <cols>
    <col min="6" max="6" width="17" customWidth="1"/>
    <col min="7" max="7" width="12.86328125" customWidth="1"/>
    <col min="8" max="8" width="11.73046875" customWidth="1"/>
    <col min="9" max="9" width="13" customWidth="1"/>
  </cols>
  <sheetData>
    <row r="6" spans="6:9" x14ac:dyDescent="0.45">
      <c r="F6" s="32"/>
      <c r="G6" s="33"/>
      <c r="H6" s="34"/>
      <c r="I6" s="34"/>
    </row>
    <row r="7" spans="6:9" x14ac:dyDescent="0.45">
      <c r="F7" s="35"/>
      <c r="G7" s="36"/>
      <c r="H7" s="37"/>
      <c r="I7" s="37"/>
    </row>
    <row r="8" spans="6:9" x14ac:dyDescent="0.45">
      <c r="F8" s="35"/>
      <c r="G8" s="36"/>
      <c r="H8" s="37"/>
      <c r="I8" s="37"/>
    </row>
    <row r="9" spans="6:9" x14ac:dyDescent="0.45">
      <c r="F9" s="35"/>
      <c r="G9" s="36"/>
      <c r="H9" s="37"/>
      <c r="I9" s="37"/>
    </row>
    <row r="10" spans="6:9" x14ac:dyDescent="0.45">
      <c r="F10" s="35"/>
      <c r="G10" s="36"/>
      <c r="H10" s="37"/>
      <c r="I10" s="37"/>
    </row>
    <row r="11" spans="6:9" x14ac:dyDescent="0.45">
      <c r="F11" s="35"/>
      <c r="G11" s="36"/>
      <c r="H11" s="38"/>
      <c r="I11" s="37"/>
    </row>
    <row r="12" spans="6:9" x14ac:dyDescent="0.45">
      <c r="F12" s="35"/>
      <c r="G12" s="36"/>
      <c r="H12" s="38"/>
      <c r="I12" s="37"/>
    </row>
    <row r="13" spans="6:9" x14ac:dyDescent="0.45">
      <c r="F13" s="39"/>
      <c r="G13" s="40"/>
      <c r="H13" s="37"/>
      <c r="I13" s="37"/>
    </row>
    <row r="15" spans="6:9" ht="14.65" thickBot="1" x14ac:dyDescent="0.5">
      <c r="F15" s="29"/>
      <c r="G15" s="30"/>
      <c r="H15" s="31"/>
      <c r="I1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2024-11-21T09:12:54Z</dcterms:modified>
</cp:coreProperties>
</file>